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_BMMB\Pousi2\Coupes_partielles\Annexe\2017-2018\Developpement\"/>
    </mc:Choice>
  </mc:AlternateContent>
  <bookViews>
    <workbookView xWindow="0" yWindow="0" windowWidth="17808" windowHeight="9564" tabRatio="752"/>
  </bookViews>
  <sheets>
    <sheet name="Calcul des taux (formules)" sheetId="1" r:id="rId1"/>
    <sheet name="Aide suppl. (volets I et II)" sheetId="8" r:id="rId2"/>
    <sheet name="Traitements admissibles" sheetId="4" r:id="rId3"/>
    <sheet name="Réductions zones-bandes" sheetId="10" r:id="rId4"/>
    <sheet name="Versions du fichier" sheetId="9" r:id="rId5"/>
    <sheet name="Menus" sheetId="2" state="hidden" r:id="rId6"/>
    <sheet name="Majorations applicables" sheetId="7" state="hidden" r:id="rId7"/>
  </sheets>
  <definedNames>
    <definedName name="_xlnm._FilterDatabase" localSheetId="2" hidden="1">'Traitements admissibles'!$A$2:$G$127</definedName>
    <definedName name="Codes_DICA">Menus!$A$81:$A$119</definedName>
    <definedName name="Codes_RATF">Menus!$A$123:$A$210</definedName>
    <definedName name="F_1INR_ENS">Menus!$D$341:$D$344</definedName>
    <definedName name="F_1INR_MUL">Menus!$D$349:$D$352</definedName>
    <definedName name="F_1INR_SEC">Menus!$D$345:$D$348</definedName>
    <definedName name="F_2I_MUL">Menus!$D$353:$D$356</definedName>
    <definedName name="F_3I_MUL">Menus!$D$357:$D$360</definedName>
    <definedName name="F_CJB_EMR">Menus!$D$259:$D$260</definedName>
    <definedName name="F_CJP_AM">Menus!$D$261</definedName>
    <definedName name="F_CJP_HQ">Menus!$D$265</definedName>
    <definedName name="F_CJP_QM">Menus!$D$266</definedName>
    <definedName name="F_CJPG_AM">Menus!$D$262</definedName>
    <definedName name="F_CJPG_HQ">Menus!$D$263</definedName>
    <definedName name="F_CJPG_QM">Menus!$D$264</definedName>
    <definedName name="F_CJT_EMR">Menus!$D$267:$D$268</definedName>
    <definedName name="F_CPI_CP_ENS_B">Menus!$D$269:$D$270</definedName>
    <definedName name="F_CPI_CP_ENS_U">Menus!$D$271:$D$274</definedName>
    <definedName name="F_CPI_CP_SEC_B">Menus!$D$275:$D$276</definedName>
    <definedName name="F_CPI_CP_SEC_U">Menus!$D$277:$D$280</definedName>
    <definedName name="F_CPI_RL_2I_ENS">Menus!$D$281:$D$284</definedName>
    <definedName name="F_CPI_RL_2I_SEC">Menus!$D$285:$D$288</definedName>
    <definedName name="F_CPI_RL_3I_ENS">Menus!$D$289:$D$292</definedName>
    <definedName name="F_CPI_RL_3I_SEC">Menus!$D$293:$D$296</definedName>
    <definedName name="F_CPI_RL_MUL">Menus!$D$297:$D$300</definedName>
    <definedName name="F_CPI_RL_PR">Menus!$D$301:$D$304</definedName>
    <definedName name="F_CPR_BA">Menus!$D$305:$D$308</definedName>
    <definedName name="F_CPR_T">Menus!$D$309:$D$312</definedName>
    <definedName name="F_CPR_U_ENS">Menus!$D$317:$D$320</definedName>
    <definedName name="F_CPR_U_PR">Menus!$D$321:$D$324</definedName>
    <definedName name="F_CPR_U_SEC">Menus!$D$313:$D$316</definedName>
    <definedName name="F_EC_MIXTE_BAS">Menus!$D$325:$D$326</definedName>
    <definedName name="F_EC_MIXTE_HAUT">Menus!$D$327:$D$328</definedName>
    <definedName name="F_EC_MIXTE_NEUTRE">Menus!$D$329:$D$330</definedName>
    <definedName name="F_EC_SEL_BAS">Menus!$D$331:$D$332</definedName>
    <definedName name="F_EC_SEL_HAUT">Menus!$D$333:$D$334</definedName>
    <definedName name="F_EC_SEL_NEUTRE">Menus!$D$335:$D$336</definedName>
    <definedName name="F_EJ_P_CLAS">Menus!$D$337</definedName>
    <definedName name="F_EJ_P_INI">Menus!$D$340</definedName>
    <definedName name="F_EJ_PG_CLAS">Menus!$D$338</definedName>
    <definedName name="F_EJ_PG_INI">Menus!$D$339</definedName>
    <definedName name="F_Utilisateur">Menus!$D$361:$D$366</definedName>
    <definedName name="Formules">Menus!$A$249:$A$255</definedName>
    <definedName name="_xlnm.Print_Titles" localSheetId="2">'Traitements admissibles'!$16:$18</definedName>
    <definedName name="_xlnm.Print_Titles" localSheetId="4">'Versions du fichier'!$1:$2</definedName>
    <definedName name="Majoration_H1">Menus!$A$223:$A$224</definedName>
    <definedName name="Majoration_MAN">Menus!$A$228:$A$230</definedName>
    <definedName name="Majoration_MAN_DIFF_F1">Menus!$A$230:$A$230</definedName>
    <definedName name="Majoration_MAN_F1">Menus!$A$228:$A$229</definedName>
    <definedName name="Majoration_RUB">Menus!$A$234:$A$245</definedName>
    <definedName name="Question">Menus!$A$2:$A$3</definedName>
    <definedName name="Selection_Formule_1">Menus!$C$214</definedName>
    <definedName name="Selection_Formule_2">Menus!$C$215</definedName>
    <definedName name="Selection_Formule_4">Menus!$C$216</definedName>
    <definedName name="Selection_Formule_5">Menus!$C$217</definedName>
    <definedName name="Selection_Formule_6">Menus!$C$218</definedName>
    <definedName name="Selection_Formule_7">Menus!$C$219</definedName>
    <definedName name="UA">Menus!$A$7:$A$77</definedName>
    <definedName name="_xlnm.Print_Area" localSheetId="1">'Aide suppl. (volets I et II)'!$A$1:$G$57</definedName>
    <definedName name="_xlnm.Print_Area" localSheetId="0">'Calcul des taux (formules)'!$A$1:$G$151</definedName>
    <definedName name="_xlnm.Print_Area" localSheetId="2">'Traitements admissibles'!$A$1:$G$132</definedName>
    <definedName name="Zones_de_tarification">Menus!$A$370:$A$555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48568" i="1" l="1"/>
  <c r="H1048571" i="1" s="1"/>
  <c r="H1048569" i="1"/>
  <c r="H1048573" i="1" s="1"/>
  <c r="I1048573" i="1" s="1"/>
  <c r="L1048570" i="1"/>
  <c r="L1048571" i="1"/>
  <c r="L1048572" i="1"/>
  <c r="L1048573" i="1"/>
  <c r="L1048575" i="1"/>
  <c r="H1048572" i="1" l="1"/>
  <c r="I1048572" i="1" s="1"/>
  <c r="H1048570" i="1"/>
  <c r="H1048575" i="1"/>
  <c r="I1048575" i="1" s="1"/>
  <c r="H1048574" i="1"/>
  <c r="I1048574" i="1" s="1"/>
  <c r="G40" i="8"/>
  <c r="A36" i="1" l="1"/>
  <c r="G119" i="1" l="1"/>
  <c r="G67" i="1" l="1"/>
  <c r="G85" i="1" l="1"/>
  <c r="G102" i="1"/>
  <c r="G122" i="1"/>
  <c r="G141" i="1"/>
  <c r="G55" i="8"/>
  <c r="G149" i="1"/>
  <c r="G43" i="1" l="1"/>
  <c r="G138" i="1"/>
  <c r="G107" i="1" l="1"/>
  <c r="J1048574" i="1"/>
  <c r="J1048575" i="1"/>
  <c r="J1048572" i="1"/>
  <c r="J1048573" i="1"/>
  <c r="G127" i="1"/>
  <c r="G21" i="8" l="1"/>
  <c r="G26" i="8" s="1"/>
  <c r="G34" i="8"/>
  <c r="G20" i="8"/>
  <c r="G41" i="8" l="1"/>
  <c r="A12" i="1"/>
  <c r="G27" i="8" l="1"/>
  <c r="F52" i="1"/>
  <c r="K1048570" i="1" s="1"/>
  <c r="G109" i="1" l="1"/>
  <c r="G99" i="1"/>
  <c r="G82" i="1"/>
  <c r="F58" i="1" l="1"/>
  <c r="M1048572" i="1" l="1"/>
  <c r="N1048572" i="1" s="1"/>
  <c r="M1048573" i="1"/>
  <c r="N1048573" i="1" s="1"/>
  <c r="M1048574" i="1"/>
  <c r="N1048574" i="1" s="1"/>
  <c r="M1048575" i="1"/>
  <c r="N1048575" i="1" s="1"/>
  <c r="M1048570" i="1"/>
  <c r="N1048570" i="1" s="1"/>
  <c r="M1048571" i="1"/>
  <c r="N1048571" i="1" s="1"/>
  <c r="G89" i="1"/>
  <c r="G72" i="1"/>
  <c r="G126" i="1" l="1"/>
  <c r="G108" i="1"/>
  <c r="G106" i="1"/>
  <c r="G128" i="1" l="1"/>
  <c r="G70" i="1"/>
  <c r="G105" i="1"/>
  <c r="G125" i="1"/>
  <c r="G88" i="1"/>
  <c r="G71" i="1" l="1"/>
  <c r="G129" i="1" l="1"/>
  <c r="G130" i="1" s="1"/>
  <c r="G110" i="1"/>
  <c r="G90" i="1"/>
  <c r="F32" i="1"/>
  <c r="G111" i="1" l="1"/>
  <c r="G112" i="1" s="1"/>
  <c r="G131" i="1"/>
  <c r="G91" i="1"/>
  <c r="B15" i="7"/>
  <c r="B14" i="7"/>
  <c r="B13" i="7"/>
  <c r="B12" i="7"/>
  <c r="B11" i="7"/>
  <c r="G7" i="7"/>
  <c r="G6" i="7"/>
  <c r="G5" i="7"/>
  <c r="G4" i="7"/>
  <c r="G3" i="7"/>
  <c r="G2" i="7"/>
  <c r="A37" i="1" s="1"/>
  <c r="E52" i="1"/>
  <c r="F12" i="1"/>
  <c r="G43" i="8" l="1"/>
  <c r="G92" i="1"/>
  <c r="G44" i="8"/>
  <c r="C64" i="1" l="1"/>
  <c r="C63" i="1"/>
  <c r="C62" i="1"/>
  <c r="C66" i="1"/>
  <c r="C65" i="1"/>
  <c r="G45" i="8"/>
  <c r="E65" i="1" l="1"/>
  <c r="E62" i="1"/>
  <c r="E64" i="1"/>
  <c r="E66" i="1"/>
  <c r="E63" i="1"/>
  <c r="G73" i="1"/>
  <c r="G133" i="1" l="1"/>
  <c r="G137" i="1" s="1"/>
  <c r="G140" i="1" s="1"/>
  <c r="G132" i="1"/>
  <c r="G136" i="1" s="1"/>
  <c r="G77" i="1"/>
  <c r="G76" i="1"/>
  <c r="G79" i="1" s="1"/>
  <c r="G113" i="1"/>
  <c r="G116" i="1" s="1"/>
  <c r="G94" i="1"/>
  <c r="G98" i="1" s="1"/>
  <c r="G101" i="1" s="1"/>
  <c r="G93" i="1"/>
  <c r="G97" i="1" s="1"/>
  <c r="G114" i="1"/>
  <c r="G118" i="1" s="1"/>
  <c r="G121" i="1" s="1"/>
  <c r="G74" i="1"/>
  <c r="G123" i="1" l="1"/>
  <c r="G103" i="1"/>
  <c r="G142" i="1"/>
  <c r="G117" i="1"/>
  <c r="G134" i="1"/>
  <c r="G135" i="1" s="1"/>
  <c r="G95" i="1"/>
  <c r="G78" i="1"/>
  <c r="G96" i="1"/>
  <c r="G115" i="1"/>
  <c r="G80" i="1"/>
  <c r="G75" i="1"/>
  <c r="G81" i="1" l="1"/>
  <c r="G84" i="1" s="1"/>
  <c r="G86" i="1" l="1"/>
</calcChain>
</file>

<file path=xl/comments1.xml><?xml version="1.0" encoding="utf-8"?>
<comments xmlns="http://schemas.openxmlformats.org/spreadsheetml/2006/main">
  <authors>
    <author>St-Pierre, Stéphane (BMMB)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L'équivalent de l'ancienne sélection rapprochée (5-5-5).</t>
        </r>
      </text>
    </comment>
  </commentList>
</comments>
</file>

<file path=xl/sharedStrings.xml><?xml version="1.0" encoding="utf-8"?>
<sst xmlns="http://schemas.openxmlformats.org/spreadsheetml/2006/main" count="1497" uniqueCount="678">
  <si>
    <t>Identification</t>
  </si>
  <si>
    <t>UAF</t>
  </si>
  <si>
    <t>Intrants</t>
  </si>
  <si>
    <t>Sélection des tiges à récolter</t>
  </si>
  <si>
    <t>Opérateur</t>
  </si>
  <si>
    <t>Ratio des trouées sous forme de CPRS (%)</t>
  </si>
  <si>
    <t>Écart ($/ha)</t>
  </si>
  <si>
    <t>Superficie (ha)</t>
  </si>
  <si>
    <t>Formule 5</t>
  </si>
  <si>
    <t>Nom et prénom de l'ingénieur forestier</t>
  </si>
  <si>
    <t>No de permis</t>
  </si>
  <si>
    <t>01152</t>
  </si>
  <si>
    <t>01151</t>
  </si>
  <si>
    <t>01251</t>
  </si>
  <si>
    <t>01252</t>
  </si>
  <si>
    <t>01253</t>
  </si>
  <si>
    <t>01254</t>
  </si>
  <si>
    <t>02251</t>
  </si>
  <si>
    <t>02351</t>
  </si>
  <si>
    <t>02352</t>
  </si>
  <si>
    <t>02451</t>
  </si>
  <si>
    <t>02452</t>
  </si>
  <si>
    <t>02551</t>
  </si>
  <si>
    <t>02651</t>
  </si>
  <si>
    <t>02661</t>
  </si>
  <si>
    <t>02662</t>
  </si>
  <si>
    <t>02663</t>
  </si>
  <si>
    <t>02664</t>
  </si>
  <si>
    <t>02665</t>
  </si>
  <si>
    <t>02666</t>
  </si>
  <si>
    <t>02751</t>
  </si>
  <si>
    <t>03151</t>
  </si>
  <si>
    <t>03152</t>
  </si>
  <si>
    <t>03153</t>
  </si>
  <si>
    <t>03351</t>
  </si>
  <si>
    <t>03451</t>
  </si>
  <si>
    <t>03453</t>
  </si>
  <si>
    <t>03551</t>
  </si>
  <si>
    <t>04151</t>
  </si>
  <si>
    <t>04251</t>
  </si>
  <si>
    <t>04351</t>
  </si>
  <si>
    <t>04352</t>
  </si>
  <si>
    <t>05151</t>
  </si>
  <si>
    <t>06151</t>
  </si>
  <si>
    <t>06152</t>
  </si>
  <si>
    <t>06251</t>
  </si>
  <si>
    <t>06252</t>
  </si>
  <si>
    <t>06451</t>
  </si>
  <si>
    <t>06452</t>
  </si>
  <si>
    <t>07151</t>
  </si>
  <si>
    <t>07152</t>
  </si>
  <si>
    <t>07251</t>
  </si>
  <si>
    <t>07351</t>
  </si>
  <si>
    <t>07352</t>
  </si>
  <si>
    <t>07451</t>
  </si>
  <si>
    <t>08151</t>
  </si>
  <si>
    <t>08152</t>
  </si>
  <si>
    <t>08251</t>
  </si>
  <si>
    <t>08351</t>
  </si>
  <si>
    <t>08451</t>
  </si>
  <si>
    <t>08462</t>
  </si>
  <si>
    <t>08551</t>
  </si>
  <si>
    <t>08562</t>
  </si>
  <si>
    <t>08651</t>
  </si>
  <si>
    <t>08652</t>
  </si>
  <si>
    <t>08663</t>
  </si>
  <si>
    <t>08664</t>
  </si>
  <si>
    <t>08665</t>
  </si>
  <si>
    <t>08666</t>
  </si>
  <si>
    <t>08751</t>
  </si>
  <si>
    <t>08762</t>
  </si>
  <si>
    <t>08763</t>
  </si>
  <si>
    <t>08764</t>
  </si>
  <si>
    <t>09351</t>
  </si>
  <si>
    <t>09352</t>
  </si>
  <si>
    <t>09451</t>
  </si>
  <si>
    <t>09452</t>
  </si>
  <si>
    <t>09551</t>
  </si>
  <si>
    <t>09751</t>
  </si>
  <si>
    <t>11161</t>
  </si>
  <si>
    <t>11262</t>
  </si>
  <si>
    <t>11263</t>
  </si>
  <si>
    <t>CJB-EMR</t>
  </si>
  <si>
    <t>CJP-AM</t>
  </si>
  <si>
    <t>CJP-HQ</t>
  </si>
  <si>
    <t>CJP-QM</t>
  </si>
  <si>
    <t>CJPG-AM</t>
  </si>
  <si>
    <t>CJPG-HQ</t>
  </si>
  <si>
    <t>CJPG-QM</t>
  </si>
  <si>
    <t>CJT-EMR</t>
  </si>
  <si>
    <t>CPI_CP-ENS_B</t>
  </si>
  <si>
    <t>CPI_CP-ENS_U</t>
  </si>
  <si>
    <t>CPI_CP-SEC_B</t>
  </si>
  <si>
    <t>CPI_CP-SEC_U</t>
  </si>
  <si>
    <t>CPI_RL-2I_ENS</t>
  </si>
  <si>
    <t>CPI_RL-2I_SEC</t>
  </si>
  <si>
    <t>CPI_RL-3I_ENS</t>
  </si>
  <si>
    <t>CPI_RL-3I_SEC</t>
  </si>
  <si>
    <t>CPI_RL-MUL</t>
  </si>
  <si>
    <t>CPI_RL-PR</t>
  </si>
  <si>
    <t>CPR_BA</t>
  </si>
  <si>
    <t>CPR_T</t>
  </si>
  <si>
    <t>CPR_U-ENS</t>
  </si>
  <si>
    <t>CPR_U-PR</t>
  </si>
  <si>
    <t>EJ_P-CLAS</t>
  </si>
  <si>
    <t>EJ_P-INI</t>
  </si>
  <si>
    <t>EJ_PG-CLAS</t>
  </si>
  <si>
    <t>Codes_Dica</t>
  </si>
  <si>
    <t>CJBM</t>
  </si>
  <si>
    <t>CJBMO</t>
  </si>
  <si>
    <t>CJPAM</t>
  </si>
  <si>
    <t>CJPGAM</t>
  </si>
  <si>
    <t>CJPGHQ</t>
  </si>
  <si>
    <t>CJPGQM</t>
  </si>
  <si>
    <t>CJPHQ</t>
  </si>
  <si>
    <t>CJPQM</t>
  </si>
  <si>
    <t>CJTM</t>
  </si>
  <si>
    <t>CJTMO</t>
  </si>
  <si>
    <t>CPIENSBMSF</t>
  </si>
  <si>
    <t>CPIENSBOSF</t>
  </si>
  <si>
    <t>CPIL2ENOFM</t>
  </si>
  <si>
    <t>CPIL2ENOSF</t>
  </si>
  <si>
    <t>CPIL2SEOFM</t>
  </si>
  <si>
    <t>CPIL2SEOSF</t>
  </si>
  <si>
    <t>CPIL3ENOFM</t>
  </si>
  <si>
    <t>CPIL3ENOSF</t>
  </si>
  <si>
    <t>CPIL3SEOFM</t>
  </si>
  <si>
    <t>CPIL3SEOSF</t>
  </si>
  <si>
    <t>CPILMULOFM</t>
  </si>
  <si>
    <t>CPILMULOSF</t>
  </si>
  <si>
    <t>CPIRL2ENFM</t>
  </si>
  <si>
    <t>CPIRL2ENSF</t>
  </si>
  <si>
    <t>CPIRL2SEFM</t>
  </si>
  <si>
    <t>CPIRL2SESF</t>
  </si>
  <si>
    <t>CPIRL3ENFM</t>
  </si>
  <si>
    <t>CPIRL3ENSF</t>
  </si>
  <si>
    <t>CPIRL3SEFM</t>
  </si>
  <si>
    <t>CPIRL3SESF</t>
  </si>
  <si>
    <t>CPIRLMULFM</t>
  </si>
  <si>
    <t>CPIRLMULSF</t>
  </si>
  <si>
    <t>CPIRLPRFM</t>
  </si>
  <si>
    <t>CPIRLPROFM</t>
  </si>
  <si>
    <t>CPIRLPROSF</t>
  </si>
  <si>
    <t>CPIRLPRSF</t>
  </si>
  <si>
    <t>CPISECBMSF</t>
  </si>
  <si>
    <t>CPISECBOSF</t>
  </si>
  <si>
    <t>CPIUENSFM</t>
  </si>
  <si>
    <t>CPIUENSOFM</t>
  </si>
  <si>
    <t>CPIUENSOSF</t>
  </si>
  <si>
    <t>CPIUENSSF</t>
  </si>
  <si>
    <t>CPIUSECFM</t>
  </si>
  <si>
    <t>CPIUSECOFM</t>
  </si>
  <si>
    <t>CPIUSECOSF</t>
  </si>
  <si>
    <t>CPIUSECSF</t>
  </si>
  <si>
    <t>CPRBAMFM</t>
  </si>
  <si>
    <t>CPRBAMSF</t>
  </si>
  <si>
    <t>CPRBAOFM</t>
  </si>
  <si>
    <t>CPRBAOSF</t>
  </si>
  <si>
    <t>CPRTMFM</t>
  </si>
  <si>
    <t>CPRTMSF</t>
  </si>
  <si>
    <t>CPRTOFM</t>
  </si>
  <si>
    <t>CPRTOSF</t>
  </si>
  <si>
    <t>CPRUENSFM</t>
  </si>
  <si>
    <t>CPRUENSOFM</t>
  </si>
  <si>
    <t>CPRUENSOSF</t>
  </si>
  <si>
    <t>CPRUENSSF</t>
  </si>
  <si>
    <t>CPRUPRFM</t>
  </si>
  <si>
    <t>CPRUPROFM</t>
  </si>
  <si>
    <t>CPRUPROSF</t>
  </si>
  <si>
    <t>CPRUPRSF</t>
  </si>
  <si>
    <t>CPRUSECFM</t>
  </si>
  <si>
    <t>CPRUSECOFM</t>
  </si>
  <si>
    <t>CPRUSECOSF</t>
  </si>
  <si>
    <t>CPRUSECSF</t>
  </si>
  <si>
    <t>EJPCLAS</t>
  </si>
  <si>
    <t>EJPGCLAS</t>
  </si>
  <si>
    <t>EJPGINI</t>
  </si>
  <si>
    <t>EJPINI</t>
  </si>
  <si>
    <t>Codes_RATF</t>
  </si>
  <si>
    <t>Martelage</t>
  </si>
  <si>
    <t>H1</t>
  </si>
  <si>
    <t>SANS Hébergement</t>
  </si>
  <si>
    <t>AVEC Hébergement</t>
  </si>
  <si>
    <t>MAN</t>
  </si>
  <si>
    <t>Opérations MANUELLES</t>
  </si>
  <si>
    <t>Opérations MÉCANISÉES</t>
  </si>
  <si>
    <t>Secteur d'intervention</t>
  </si>
  <si>
    <t>Unité de compilation</t>
  </si>
  <si>
    <t>Numéro de la prescription</t>
  </si>
  <si>
    <t>Traitement (Code DICA)</t>
  </si>
  <si>
    <t>Traitement (Code RATF)</t>
  </si>
  <si>
    <t>Pas de rubannage des sentiers</t>
  </si>
  <si>
    <t>RUB</t>
  </si>
  <si>
    <t>Classe de pente numérique</t>
  </si>
  <si>
    <t>Taux calculé ($/ha)</t>
  </si>
  <si>
    <t>Pente A</t>
  </si>
  <si>
    <t>Pente B</t>
  </si>
  <si>
    <t>Pente C</t>
  </si>
  <si>
    <t>Pente D</t>
  </si>
  <si>
    <t>Pente E</t>
  </si>
  <si>
    <t>Total</t>
  </si>
  <si>
    <t>Formule 1</t>
  </si>
  <si>
    <t>Formule 2</t>
  </si>
  <si>
    <t>Formule 4</t>
  </si>
  <si>
    <t>Formule 6</t>
  </si>
  <si>
    <t>Formule 7</t>
  </si>
  <si>
    <t>Formules</t>
  </si>
  <si>
    <t>Compositions</t>
  </si>
  <si>
    <t>Sélections des tiges à récolter</t>
  </si>
  <si>
    <t>Patrons d'intervention</t>
  </si>
  <si>
    <t>Structures cibles</t>
  </si>
  <si>
    <t>Traitements</t>
  </si>
  <si>
    <t>Codes DICA</t>
  </si>
  <si>
    <t>Formules à utiliser</t>
  </si>
  <si>
    <t>SEPM, mixtes à tendance résineuse  et feuillus intolérants</t>
  </si>
  <si>
    <t>--</t>
  </si>
  <si>
    <t>Uniforme</t>
  </si>
  <si>
    <t>Régulière</t>
  </si>
  <si>
    <t>Éclaircie commerciale</t>
  </si>
  <si>
    <t>EC_SEL-BAS</t>
  </si>
  <si>
    <t>EC_SEL-HAUT</t>
  </si>
  <si>
    <t>EC_SEL-NEUTRE</t>
  </si>
  <si>
    <t>EC_MIXTE-BAS</t>
  </si>
  <si>
    <t>EC_MIXTE-HAUT</t>
  </si>
  <si>
    <t>EC_MIXTE-NEUTRE</t>
  </si>
  <si>
    <t>Feuillus tolérants, autres résineux et mixtes à tendance feuillue</t>
  </si>
  <si>
    <t>Jardinée / gestion par arbres</t>
  </si>
  <si>
    <t>Coupe de jardinage par pieds d'arbres ou pieds d'arbres et groupes d'arbres</t>
  </si>
  <si>
    <t>Éclaircie jardinatoire par pieds d'arbres ou pieds d'arbres et groupes d'arbres</t>
  </si>
  <si>
    <t>EJ_PG-INI</t>
  </si>
  <si>
    <t>Coupe progressive régulière</t>
  </si>
  <si>
    <t>CPR_U_SEC</t>
  </si>
  <si>
    <t>Irrégulière</t>
  </si>
  <si>
    <t>Coupe progressive irrégulière à couvert permanent</t>
  </si>
  <si>
    <t>Coupe progressive irrégulière à régénération lente</t>
  </si>
  <si>
    <t>Par bandes ou par trouées</t>
  </si>
  <si>
    <t>Jardinée / gestion avec cohortes juxtaposées</t>
  </si>
  <si>
    <t>Coupe de jardinage par bande avec éclaircie dans la matrice résiduelle</t>
  </si>
  <si>
    <t>Coupe de jardinage par troués avec éclaircie dans la matrice résiduelle</t>
  </si>
  <si>
    <t>Coupe progressive régulière par bandes ou trouées</t>
  </si>
  <si>
    <t>Coupe progressive irrégulière à couvert permanent par bandes</t>
  </si>
  <si>
    <t>Formule_fin</t>
  </si>
  <si>
    <t>CPIRL2EN</t>
  </si>
  <si>
    <t>CPIRL2SE</t>
  </si>
  <si>
    <t>CPIRL3EN</t>
  </si>
  <si>
    <t>CPIRL3SE</t>
  </si>
  <si>
    <t>CPIRLMUL</t>
  </si>
  <si>
    <t>CPIRLPR</t>
  </si>
  <si>
    <t>CPIUENS</t>
  </si>
  <si>
    <t>CPIUSEC</t>
  </si>
  <si>
    <t>CPRUENS</t>
  </si>
  <si>
    <t>CPRUPR</t>
  </si>
  <si>
    <t>CPRUSEC</t>
  </si>
  <si>
    <t>ECMIXBASPR</t>
  </si>
  <si>
    <t>ECMIXHAUPR</t>
  </si>
  <si>
    <t>ECMIXNEUPR</t>
  </si>
  <si>
    <t>ECSELBASPR</t>
  </si>
  <si>
    <t>ECSELHAUPR</t>
  </si>
  <si>
    <t>ECSELNEUPR</t>
  </si>
  <si>
    <t>CJB_EMR</t>
  </si>
  <si>
    <t>CJP_AM</t>
  </si>
  <si>
    <t>CJPG_AM</t>
  </si>
  <si>
    <t>CJPG_HQ</t>
  </si>
  <si>
    <t>CJPG_QM</t>
  </si>
  <si>
    <t>CJP_HQ</t>
  </si>
  <si>
    <t>CJP_QM</t>
  </si>
  <si>
    <t>CJT_EMR</t>
  </si>
  <si>
    <t>CPI_CP_ENS_B</t>
  </si>
  <si>
    <t>CPI_CP_ENS_U</t>
  </si>
  <si>
    <t>CPI_CP_SEC_B</t>
  </si>
  <si>
    <t>CPI_CP_SEC_U</t>
  </si>
  <si>
    <t>CPI_RL_2I_ENS</t>
  </si>
  <si>
    <t>CPI_RL_2I_SEC</t>
  </si>
  <si>
    <t>CPI_RL_3I_ENS</t>
  </si>
  <si>
    <t>CPI_RL_3I_SEC</t>
  </si>
  <si>
    <t>CPI_RL_MUL</t>
  </si>
  <si>
    <t>CPI_RL_PR</t>
  </si>
  <si>
    <t>CPR_U_ENS</t>
  </si>
  <si>
    <t>CPR_U_PR</t>
  </si>
  <si>
    <t>EC_MIXTE_BAS</t>
  </si>
  <si>
    <t>EC_MIXTE_HAUT</t>
  </si>
  <si>
    <t>EC_MIXTE_NEUTRE</t>
  </si>
  <si>
    <t>EC_SEL_BAS</t>
  </si>
  <si>
    <t>EC_SEL_HAUT</t>
  </si>
  <si>
    <t>EC_SEL_NEUTRE</t>
  </si>
  <si>
    <t>EJ_P_CLAS</t>
  </si>
  <si>
    <t>EJ_PG_CLAS</t>
  </si>
  <si>
    <t>EJ_PG_INI</t>
  </si>
  <si>
    <t>EJ_P_INI</t>
  </si>
  <si>
    <t>Formule_4_CJB-EMR</t>
  </si>
  <si>
    <t>Formule_5_CJB-EMR</t>
  </si>
  <si>
    <t>Formule_4_CJP-AM</t>
  </si>
  <si>
    <t>Formule_4_CJPG-AM</t>
  </si>
  <si>
    <t>Formule_4_CJPG-HQ</t>
  </si>
  <si>
    <t>Formule_4_CJPG-QM</t>
  </si>
  <si>
    <t>Formule_4_CJP-HQ</t>
  </si>
  <si>
    <t>Formule_4_CJP-QM</t>
  </si>
  <si>
    <t>Formule_4_CJT-EMR</t>
  </si>
  <si>
    <t>Formule_5_CJT-EMR</t>
  </si>
  <si>
    <t>Formule_6_CPI_CP-ENS_B</t>
  </si>
  <si>
    <t>Formule_7_CPI_CP-ENS_B</t>
  </si>
  <si>
    <t>Formule_4_CPI_CP-ENS_U</t>
  </si>
  <si>
    <t>Formule_5_CPI_CP-ENS_U</t>
  </si>
  <si>
    <t>Formule_6_CPI_CP-ENS_U</t>
  </si>
  <si>
    <t>Formule_7_CPI_CP-ENS_U</t>
  </si>
  <si>
    <t>Formule_6_CPI_CP-SEC_B</t>
  </si>
  <si>
    <t>Formule_7_CPI_CP-SEC_B</t>
  </si>
  <si>
    <t>Formule_4_CPI_CP-SEC_U</t>
  </si>
  <si>
    <t>Formule_5_CPI_CP-SEC_U</t>
  </si>
  <si>
    <t>Formule_6_CPI_CP-SEC_U</t>
  </si>
  <si>
    <t>Formule_7_CPI_CP-SEC_U</t>
  </si>
  <si>
    <t>Formule_4_CPI_RL-2I_ENS</t>
  </si>
  <si>
    <t>Formule_5_CPI_RL-2I_ENS</t>
  </si>
  <si>
    <t>Formule_6_CPI_RL-2I_ENS</t>
  </si>
  <si>
    <t>Formule_7_CPI_RL-2I_ENS</t>
  </si>
  <si>
    <t>Formule_4_CPI_RL-2I_SEC</t>
  </si>
  <si>
    <t>Formule_5_CPI_RL-2I_SEC</t>
  </si>
  <si>
    <t>Formule_6_CPI_RL-2I_SEC</t>
  </si>
  <si>
    <t>Formule_7_CPI_RL-2I_SEC</t>
  </si>
  <si>
    <t>Formule_4_CPI_RL-3I_ENS</t>
  </si>
  <si>
    <t>Formule_5_CPI_RL-3I_ENS</t>
  </si>
  <si>
    <t>Formule_6_CPI_RL-3I_ENS</t>
  </si>
  <si>
    <t>Formule_7_CPI_RL-3I_ENS</t>
  </si>
  <si>
    <t>Formule_4_CPI_RL-3I_SEC</t>
  </si>
  <si>
    <t>Formule_5_CPI_RL-3I_SEC</t>
  </si>
  <si>
    <t>Formule_6_CPI_RL-3I_SEC</t>
  </si>
  <si>
    <t>Formule_7_CPI_RL-3I_SEC</t>
  </si>
  <si>
    <t>Formule_4_CPI_RL-MUL</t>
  </si>
  <si>
    <t>Formule_5_CPI_RL-MUL</t>
  </si>
  <si>
    <t>Formule_6_CPI_RL-MUL</t>
  </si>
  <si>
    <t>Formule_7_CPI_RL-MUL</t>
  </si>
  <si>
    <t>Formule_4_CPI_RL-PR</t>
  </si>
  <si>
    <t>Formule_5_CPI_RL-PR</t>
  </si>
  <si>
    <t>Formule_6_CPI_RL-PR</t>
  </si>
  <si>
    <t>Formule_7_CPI_RL-PR</t>
  </si>
  <si>
    <t>Formule_4_CPR_BA</t>
  </si>
  <si>
    <t>Formule_5_CPR_BA</t>
  </si>
  <si>
    <t>Formule_6_CPR_BA</t>
  </si>
  <si>
    <t>Formule_7_CPR_BA</t>
  </si>
  <si>
    <t>Formule_4_CPR_T</t>
  </si>
  <si>
    <t>Formule_5_CPR_T</t>
  </si>
  <si>
    <t>Formule_6_CPR_T</t>
  </si>
  <si>
    <t>Formule_7_CPR_T</t>
  </si>
  <si>
    <t>Formule_4_CPR_U_SEC</t>
  </si>
  <si>
    <t>Formule_5_CPR_U_SEC</t>
  </si>
  <si>
    <t>Formule_6_CPR_U_SEC</t>
  </si>
  <si>
    <t>Formule_7_CPR_U_SEC</t>
  </si>
  <si>
    <t>Formule_4_CPR_U-ENS</t>
  </si>
  <si>
    <t>Formule_5_CPR_U-ENS</t>
  </si>
  <si>
    <t>Formule_6_CPR_U-ENS</t>
  </si>
  <si>
    <t>Formule_7_CPR_U-ENS</t>
  </si>
  <si>
    <t>Formule_4_CPR_U-PR</t>
  </si>
  <si>
    <t>Formule_5_CPR_U-PR</t>
  </si>
  <si>
    <t>Formule_6_CPR_U-PR</t>
  </si>
  <si>
    <t>Formule_7_CPR_U-PR</t>
  </si>
  <si>
    <t>Formule_1_EC_MIXTE-BAS</t>
  </si>
  <si>
    <t>Formule_2_EC_MIXTE-BAS</t>
  </si>
  <si>
    <t>Formule_1_EC_MIXTE-HAUT</t>
  </si>
  <si>
    <t>Formule_2_EC_MIXTE-HAUT</t>
  </si>
  <si>
    <t>Formule_1_EC_MIXTE-NEUTRE</t>
  </si>
  <si>
    <t>Formule_2_EC_MIXTE-NEUTRE</t>
  </si>
  <si>
    <t>Formule_1_EC_SEL-BAS</t>
  </si>
  <si>
    <t>Formule_2_EC_SEL-BAS</t>
  </si>
  <si>
    <t>Formule_1_EC_SEL-HAUT</t>
  </si>
  <si>
    <t>Formule_2_EC_SEL-HAUT</t>
  </si>
  <si>
    <t>Formule_1_EC_SEL-NEUTRE</t>
  </si>
  <si>
    <t>Formule_2_EC_SEL-NEUTRE</t>
  </si>
  <si>
    <t>Formule_4_EJ_P-CLAS</t>
  </si>
  <si>
    <t>Formule_4_EJ_PG-CLAS</t>
  </si>
  <si>
    <t>Formule_4_EJ_PG-INI</t>
  </si>
  <si>
    <t>Formule_4_EJ_P-INI</t>
  </si>
  <si>
    <t>F_CJB_EMR</t>
  </si>
  <si>
    <t>F_CJP_AM</t>
  </si>
  <si>
    <t>F_CJPG_AM</t>
  </si>
  <si>
    <t>F_CJPG_HQ</t>
  </si>
  <si>
    <t>F_CJPG_QM</t>
  </si>
  <si>
    <t>F_CJP_HQ</t>
  </si>
  <si>
    <t>F_CJP_QM</t>
  </si>
  <si>
    <t>F_CJT_EMR</t>
  </si>
  <si>
    <t>F_CPI_CP_ENS_B</t>
  </si>
  <si>
    <t>F_CPI_CP_ENS_U</t>
  </si>
  <si>
    <t>F_CPI_CP_SEC_B</t>
  </si>
  <si>
    <t>F_CPI_CP_SEC_U</t>
  </si>
  <si>
    <t>F_CPI_RL_2I_ENS</t>
  </si>
  <si>
    <t>F_CPI_RL_2I_SEC</t>
  </si>
  <si>
    <t>F_CPI_RL_3I_ENS</t>
  </si>
  <si>
    <t>F_CPI_RL_3I_SEC</t>
  </si>
  <si>
    <t>F_CPI_RL_MUL</t>
  </si>
  <si>
    <t>F_CPI_RL_PR</t>
  </si>
  <si>
    <t>F_CPR_BA</t>
  </si>
  <si>
    <t>F_CPR_T</t>
  </si>
  <si>
    <t>F_CPR_U_SEC</t>
  </si>
  <si>
    <t>F_CPR_U_ENS</t>
  </si>
  <si>
    <t>F_CPR_U_PR</t>
  </si>
  <si>
    <t>F_EC_MIXTE_BAS</t>
  </si>
  <si>
    <t>F_EC_MIXTE_HAUT</t>
  </si>
  <si>
    <t>F_EC_MIXTE_NEUTRE</t>
  </si>
  <si>
    <t>F_EC_SEL_BAS</t>
  </si>
  <si>
    <t>F_EC_SEL_HAUT</t>
  </si>
  <si>
    <t>F_EC_SEL_NEUTRE</t>
  </si>
  <si>
    <t>F_EJ_P_CLAS</t>
  </si>
  <si>
    <t>F_EJ_PG_CLAS</t>
  </si>
  <si>
    <t>F_EJ_PG_INI</t>
  </si>
  <si>
    <t>F_EJ_P_INI</t>
  </si>
  <si>
    <t>Inscrire une valeur</t>
  </si>
  <si>
    <t>Sans objet</t>
  </si>
  <si>
    <t>Majoration_MAN_F1</t>
  </si>
  <si>
    <t>Majoration_MAN_DIFF_F1</t>
  </si>
  <si>
    <t>Totaux</t>
  </si>
  <si>
    <t>Total à payer ($/ha)</t>
  </si>
  <si>
    <t>Montant total à payer ($)</t>
  </si>
  <si>
    <t>Formule</t>
  </si>
  <si>
    <t>C1</t>
  </si>
  <si>
    <t>C2</t>
  </si>
  <si>
    <t>A</t>
  </si>
  <si>
    <t>B</t>
  </si>
  <si>
    <t>C</t>
  </si>
  <si>
    <t>( C1 + (4,797vr-0,682 - 7,388vp-0,391))x P</t>
  </si>
  <si>
    <t>( C1 + (14,195vr-0,237 - 10,053vp-0,237)-0,43) x P</t>
  </si>
  <si>
    <t>( C2 + (10,847vr-0,526 - 6,406vp-0,563)-0,43) x P</t>
  </si>
  <si>
    <t>( C2 + (7,538vr-0,534 - 6,227vp-0,564) x P</t>
  </si>
  <si>
    <t>( C2 + (7,388vr-0,643 - 6,227vp-0,564) x P</t>
  </si>
  <si>
    <t>Item</t>
  </si>
  <si>
    <t>E</t>
  </si>
  <si>
    <t>F</t>
  </si>
  <si>
    <t>1INR_ENS</t>
  </si>
  <si>
    <t>1INR_SEC</t>
  </si>
  <si>
    <t>1INR_MUL</t>
  </si>
  <si>
    <t>2I_MUL</t>
  </si>
  <si>
    <t>3I_MUL</t>
  </si>
  <si>
    <t>Formule_4_1INR_ENS</t>
  </si>
  <si>
    <t>Formule_5_1INR_ENS</t>
  </si>
  <si>
    <t>Formule_6_1INR_ENS</t>
  </si>
  <si>
    <t>Formule_7_1INR_ENS</t>
  </si>
  <si>
    <t>Formule_4_1INR_SEC</t>
  </si>
  <si>
    <t>Formule_5_1INR_SEC</t>
  </si>
  <si>
    <t>Formule_6_1INR_SEC</t>
  </si>
  <si>
    <t>Formule_7_1INR_SEC</t>
  </si>
  <si>
    <t>Formule_4_1INR_MUL</t>
  </si>
  <si>
    <t>Formule_5_1INR_MUL</t>
  </si>
  <si>
    <t>Formule_6_1INR_MUL</t>
  </si>
  <si>
    <t>Formule_7_1INR_MUL</t>
  </si>
  <si>
    <t>Formule_4_2I_MUL</t>
  </si>
  <si>
    <t>Formule_5_2I_MUL</t>
  </si>
  <si>
    <t>Formule_6_2I_MUL</t>
  </si>
  <si>
    <t>Formule_7_2I_MUL</t>
  </si>
  <si>
    <t>Formule_4_3I_MUL</t>
  </si>
  <si>
    <t>Formule_5_3I_MUL</t>
  </si>
  <si>
    <t>Formule_6_3I_MUL</t>
  </si>
  <si>
    <t>Formule_7_3I_MUL</t>
  </si>
  <si>
    <t>F_1INR_ENS</t>
  </si>
  <si>
    <t>F_1INR_SEC</t>
  </si>
  <si>
    <t>F_1INR_MUL</t>
  </si>
  <si>
    <t>F_2I_MUL</t>
  </si>
  <si>
    <t>F_3I_MUL</t>
  </si>
  <si>
    <t>Utilisateur</t>
  </si>
  <si>
    <t>Formule_1_Utilisateur</t>
  </si>
  <si>
    <t>Formule_2_Utilisateur</t>
  </si>
  <si>
    <t>Formule_4_Utilisateur</t>
  </si>
  <si>
    <t>Formule_5_Utilisateur</t>
  </si>
  <si>
    <t>Formule_6_Utilisateur</t>
  </si>
  <si>
    <t>Formule_7_Utilisateur</t>
  </si>
  <si>
    <t>F_Utilisateur</t>
  </si>
  <si>
    <t>Pourcentage d'investissement</t>
  </si>
  <si>
    <t>PE2</t>
  </si>
  <si>
    <t>RUB1</t>
  </si>
  <si>
    <t>BNT1</t>
  </si>
  <si>
    <t>EMR1</t>
  </si>
  <si>
    <t>M1</t>
  </si>
  <si>
    <t>M2</t>
  </si>
  <si>
    <t>M3</t>
  </si>
  <si>
    <t>M4</t>
  </si>
  <si>
    <t>M5</t>
  </si>
  <si>
    <t>Majoration MAN (F1)</t>
  </si>
  <si>
    <t>Majorations pour les opérations manuelles (MAN)</t>
  </si>
  <si>
    <t xml:space="preserve">Type d'opérations </t>
  </si>
  <si>
    <t>Majoration BNT1 (F4-F5-F6-F7)</t>
  </si>
  <si>
    <t>Majoration RUB1 (F1-F2-F4-F5-F7)</t>
  </si>
  <si>
    <t>Réduction EMR1 (F4-F5-F6-F7)</t>
  </si>
  <si>
    <t>Majoration pour le rubannage des sentiers (RUB1)</t>
  </si>
  <si>
    <t>Majoration H1 (F1-F2-F4-F5-F6-F7)</t>
  </si>
  <si>
    <t>Veuillez inscrire une formule à G12</t>
  </si>
  <si>
    <t>Taux BNT1 (%)</t>
  </si>
  <si>
    <r>
      <t>Taux BNT1 ($/m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</si>
  <si>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Taux EMR1 ($/m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</si>
  <si>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Taux RUB1 ($/m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</si>
  <si>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Taux MAN ($/m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</si>
  <si>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Taux H1 ($/m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</si>
  <si>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Majoration pour l'hébergement (H1)</t>
  </si>
  <si>
    <t>Sous-total exécution ($/ha)</t>
  </si>
  <si>
    <t>Intrants (Toutes)</t>
  </si>
  <si>
    <t>Totaux (F1)</t>
  </si>
  <si>
    <t>Équation_Texte</t>
  </si>
  <si>
    <t>N/A</t>
  </si>
  <si>
    <t>C3</t>
  </si>
  <si>
    <t>C4</t>
  </si>
  <si>
    <r>
      <t>1135*ESP</t>
    </r>
    <r>
      <rPr>
        <vertAlign val="superscript"/>
        <sz val="11"/>
        <color theme="1"/>
        <rFont val="Calibri"/>
        <family val="2"/>
        <scheme val="minor"/>
      </rPr>
      <t>-1</t>
    </r>
  </si>
  <si>
    <t>Constante 1</t>
  </si>
  <si>
    <t>Constante 2</t>
  </si>
  <si>
    <t>Inscrire une valeur à la cellule G12</t>
  </si>
  <si>
    <r>
      <t>Sous-total exécution ($/m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</si>
  <si>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Taux de base exécution  ($/m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</si>
  <si>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Totaux (F2)</t>
  </si>
  <si>
    <t>Totaux (F4-F5-F7)</t>
  </si>
  <si>
    <t>Totaux (F6)</t>
  </si>
  <si>
    <r>
      <rPr>
        <b/>
        <sz val="12"/>
        <color rgb="FFC00000"/>
        <rFont val="Calibri"/>
        <family val="2"/>
        <scheme val="minor"/>
      </rPr>
      <t xml:space="preserve"> *** Veuillez saisir les informations dans les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0"/>
        <rFont val="Calibri"/>
        <family val="2"/>
        <scheme val="minor"/>
      </rPr>
      <t>cellules blanches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C00000"/>
        <rFont val="Calibri"/>
        <family val="2"/>
        <scheme val="minor"/>
      </rPr>
      <t>seulement ***</t>
    </r>
  </si>
  <si>
    <t>Espacement entre les sentiers (m)</t>
  </si>
  <si>
    <t>Valeur_pour_Indirect</t>
  </si>
  <si>
    <t>DICA_sans_caractères_spéciaux</t>
  </si>
  <si>
    <t>Indirect</t>
  </si>
  <si>
    <t>Code_DICA_vs_Formules</t>
  </si>
  <si>
    <r>
      <t>Valeur = ( C1 + (4,797vr</t>
    </r>
    <r>
      <rPr>
        <b/>
        <vertAlign val="superscript"/>
        <sz val="11"/>
        <color theme="1"/>
        <rFont val="Calibri"/>
        <family val="2"/>
        <scheme val="minor"/>
      </rPr>
      <t>-0,682</t>
    </r>
    <r>
      <rPr>
        <b/>
        <sz val="11"/>
        <color theme="1"/>
        <rFont val="Calibri"/>
        <family val="2"/>
        <scheme val="minor"/>
      </rPr>
      <t xml:space="preserve"> - 7,388vp</t>
    </r>
    <r>
      <rPr>
        <b/>
        <vertAlign val="superscript"/>
        <sz val="11"/>
        <color theme="1"/>
        <rFont val="Calibri"/>
        <family val="2"/>
        <scheme val="minor"/>
      </rPr>
      <t>-0,391</t>
    </r>
    <r>
      <rPr>
        <b/>
        <sz val="11"/>
        <color theme="1"/>
        <rFont val="Calibri"/>
        <family val="2"/>
        <scheme val="minor"/>
      </rPr>
      <t>)) x P</t>
    </r>
  </si>
  <si>
    <r>
      <t>Valeur = ( C1 + (14,195vr</t>
    </r>
    <r>
      <rPr>
        <b/>
        <vertAlign val="superscript"/>
        <sz val="11"/>
        <color theme="1"/>
        <rFont val="Calibri"/>
        <family val="2"/>
        <scheme val="minor"/>
      </rPr>
      <t>-0,237</t>
    </r>
    <r>
      <rPr>
        <b/>
        <sz val="11"/>
        <color theme="1"/>
        <rFont val="Calibri"/>
        <family val="2"/>
        <scheme val="minor"/>
      </rPr>
      <t xml:space="preserve"> - 10,053vp</t>
    </r>
    <r>
      <rPr>
        <b/>
        <vertAlign val="superscript"/>
        <sz val="11"/>
        <color theme="1"/>
        <rFont val="Calibri"/>
        <family val="2"/>
        <scheme val="minor"/>
      </rPr>
      <t>-0,237</t>
    </r>
    <r>
      <rPr>
        <b/>
        <sz val="11"/>
        <color theme="1"/>
        <rFont val="Calibri"/>
        <family val="2"/>
        <scheme val="minor"/>
      </rPr>
      <t>) - 0,43) x P</t>
    </r>
  </si>
  <si>
    <t>Zone</t>
  </si>
  <si>
    <t>Taux</t>
  </si>
  <si>
    <t>OUI</t>
  </si>
  <si>
    <t>NON</t>
  </si>
  <si>
    <t>Admissibilité</t>
  </si>
  <si>
    <t>Volet I : Mesure d'accès au marché (bois de trituration)</t>
  </si>
  <si>
    <t>Volet II : Transport et mesurage optimisés des bois feuillus en longueur</t>
  </si>
  <si>
    <t>Remarques</t>
  </si>
  <si>
    <t>Signature de l'ingénieur forestier</t>
  </si>
  <si>
    <t>Traitement (code DICA)</t>
  </si>
  <si>
    <t>Question</t>
  </si>
  <si>
    <t>Oui</t>
  </si>
  <si>
    <t>Non</t>
  </si>
  <si>
    <t>Admissible à l'aide financière pour les coupes partielles</t>
  </si>
  <si>
    <t>Pourcentage de récupération des bois de trituration</t>
  </si>
  <si>
    <t>Superficie admissible (ha)</t>
  </si>
  <si>
    <t>Zone de tarification</t>
  </si>
  <si>
    <t>Proportion des bois assignée à ce calcul (%)</t>
  </si>
  <si>
    <t>Destination</t>
  </si>
  <si>
    <t>Numéro de projet de mesurage</t>
  </si>
  <si>
    <t>Distance (km)</t>
  </si>
  <si>
    <t>Sous-total aide autre destination ($/ha)</t>
  </si>
  <si>
    <t>Transport des bois feuillus en longueur</t>
  </si>
  <si>
    <t>Proportion des bois feuillus tranportés en longueur (%)</t>
  </si>
  <si>
    <t>Sous-total aide au transport ($/ha)</t>
  </si>
  <si>
    <t>Mesurage optimisé des bois feuillus</t>
  </si>
  <si>
    <t>Sous-total aide au mesurage optimisé ($/ha)</t>
  </si>
  <si>
    <t>Total aide volet II ($/ha)</t>
  </si>
  <si>
    <t>Grand total aide volet I ($)</t>
  </si>
  <si>
    <t>Grand total aide volet II ($)</t>
  </si>
  <si>
    <t>Date (AAAA-MM-JJ)</t>
  </si>
  <si>
    <t>Grand total admissible ($)</t>
  </si>
  <si>
    <r>
      <t>Valeur = ( C2 + (10,847vr</t>
    </r>
    <r>
      <rPr>
        <b/>
        <vertAlign val="superscript"/>
        <sz val="11"/>
        <color theme="1"/>
        <rFont val="Calibri"/>
        <family val="2"/>
        <scheme val="minor"/>
      </rPr>
      <t>-0,526</t>
    </r>
    <r>
      <rPr>
        <b/>
        <sz val="11"/>
        <color theme="1"/>
        <rFont val="Calibri"/>
        <family val="2"/>
        <scheme val="minor"/>
      </rPr>
      <t xml:space="preserve"> - 6,406vp</t>
    </r>
    <r>
      <rPr>
        <b/>
        <vertAlign val="superscript"/>
        <sz val="11"/>
        <color theme="1"/>
        <rFont val="Calibri"/>
        <family val="2"/>
        <scheme val="minor"/>
      </rPr>
      <t>-0,563</t>
    </r>
    <r>
      <rPr>
        <b/>
        <sz val="11"/>
        <color theme="1"/>
        <rFont val="Calibri"/>
        <family val="2"/>
        <scheme val="minor"/>
      </rPr>
      <t>) - 0,43) x P</t>
    </r>
  </si>
  <si>
    <r>
      <t>Valeur = ( C2 + (7,388vr</t>
    </r>
    <r>
      <rPr>
        <b/>
        <vertAlign val="superscript"/>
        <sz val="11"/>
        <color theme="1"/>
        <rFont val="Calibri"/>
        <family val="2"/>
        <scheme val="minor"/>
      </rPr>
      <t>-0,643</t>
    </r>
    <r>
      <rPr>
        <b/>
        <sz val="11"/>
        <color theme="1"/>
        <rFont val="Calibri"/>
        <family val="2"/>
        <scheme val="minor"/>
      </rPr>
      <t xml:space="preserve"> - 6,227vp</t>
    </r>
    <r>
      <rPr>
        <b/>
        <vertAlign val="superscript"/>
        <sz val="11"/>
        <color theme="1"/>
        <rFont val="Calibri"/>
        <family val="2"/>
        <scheme val="minor"/>
      </rPr>
      <t>-0,564</t>
    </r>
    <r>
      <rPr>
        <b/>
        <sz val="11"/>
        <color theme="1"/>
        <rFont val="Calibri"/>
        <family val="2"/>
        <scheme val="minor"/>
      </rPr>
      <t>) x P</t>
    </r>
  </si>
  <si>
    <r>
      <t>Valeur = ( C2 + (7,538vr</t>
    </r>
    <r>
      <rPr>
        <b/>
        <vertAlign val="superscript"/>
        <sz val="11"/>
        <color theme="1"/>
        <rFont val="Calibri"/>
        <family val="2"/>
        <scheme val="minor"/>
      </rPr>
      <t>-0,534</t>
    </r>
    <r>
      <rPr>
        <b/>
        <sz val="11"/>
        <color theme="1"/>
        <rFont val="Calibri"/>
        <family val="2"/>
        <scheme val="minor"/>
      </rPr>
      <t xml:space="preserve"> - 6,227vp</t>
    </r>
    <r>
      <rPr>
        <b/>
        <vertAlign val="superscript"/>
        <sz val="11"/>
        <color theme="1"/>
        <rFont val="Calibri"/>
        <family val="2"/>
        <scheme val="minor"/>
      </rPr>
      <t>-0,564</t>
    </r>
    <r>
      <rPr>
        <b/>
        <sz val="11"/>
        <color theme="1"/>
        <rFont val="Calibri"/>
        <family val="2"/>
        <scheme val="minor"/>
      </rPr>
      <t xml:space="preserve">) x P  </t>
    </r>
  </si>
  <si>
    <r>
      <t>Taux de base exécution ($/m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</si>
  <si>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PCT Investissement</t>
  </si>
  <si>
    <t>Total aide volet I ($/ha)</t>
  </si>
  <si>
    <t>Selon la prescription, la composition visée est feuillue ou mixte feuillue</t>
  </si>
  <si>
    <t>Sous-total selon la zone de tarification ($/ha)</t>
  </si>
  <si>
    <r>
      <rPr>
        <b/>
        <sz val="12"/>
        <color rgb="FFC00000"/>
        <rFont val="Calibri"/>
        <family val="2"/>
        <scheme val="minor"/>
      </rPr>
      <t xml:space="preserve"> *** Veuillez saisir les informations dans les </t>
    </r>
    <r>
      <rPr>
        <b/>
        <sz val="12"/>
        <color theme="0"/>
        <rFont val="Calibri"/>
        <family val="2"/>
        <scheme val="minor"/>
      </rPr>
      <t>cellules blanches</t>
    </r>
    <r>
      <rPr>
        <b/>
        <sz val="12"/>
        <color rgb="FFC00000"/>
        <rFont val="Calibri"/>
        <family val="2"/>
        <scheme val="minor"/>
      </rPr>
      <t xml:space="preserve"> seulement ***</t>
    </r>
  </si>
  <si>
    <t>Taux BNT1 ($/m³)</t>
  </si>
  <si>
    <t>Identification des tiges à récolter</t>
  </si>
  <si>
    <t>Selection_Formule_1</t>
  </si>
  <si>
    <t>Selection_Formule_2</t>
  </si>
  <si>
    <t>Selection_Formule_4</t>
  </si>
  <si>
    <t>Selection_Formule_5</t>
  </si>
  <si>
    <t>Selection_Formule_6</t>
  </si>
  <si>
    <t>Selection_Formule_7</t>
  </si>
  <si>
    <t>Hébergement</t>
  </si>
  <si>
    <t>Version 1</t>
  </si>
  <si>
    <t>Nom du fichier :</t>
  </si>
  <si>
    <t>Date de mise en ligne :</t>
  </si>
  <si>
    <t>Remarques :</t>
  </si>
  <si>
    <t>• Version initiale proposée pour la période de consultation</t>
  </si>
  <si>
    <t>Valeur_menu_déroulant</t>
  </si>
  <si>
    <t>Majoration pour la pente PE2 ($/ha)</t>
  </si>
  <si>
    <t>Taux d'exécution ($/ha)</t>
  </si>
  <si>
    <t>Taux d'exécution ($/m³)</t>
  </si>
  <si>
    <t>Majoration pour la pente PE2 ($/m³)</t>
  </si>
  <si>
    <t>Total des majorations et réductions à l'exécution ($/m³)</t>
  </si>
  <si>
    <t>Total des majorations et réductions à l'exécution ($/ha)</t>
  </si>
  <si>
    <t>Total des majorations à l'exécution ($/m³)</t>
  </si>
  <si>
    <t>Total des majorations à l'exécution ($/ha)</t>
  </si>
  <si>
    <t>Coupe progressive irrégulière à régénération lente en 1 intervention et abandon du volume résiduel phase d'ensemencement</t>
  </si>
  <si>
    <t>Coupe progressive irrégulière à régénération lente en 2 interventions multiples phases</t>
  </si>
  <si>
    <t>Coupe progressive irrégulière à régénération lente en 3 interventions multiples phases</t>
  </si>
  <si>
    <t>Coupe progressive irrégulière à régénération lente en 1 intervention et abandon du volume résiduel phase secondaire ou d'abri</t>
  </si>
  <si>
    <t>Coupe progressive irrégulière à régénération lente en 1 intervention et abandon du volume résiduel multiples phases</t>
  </si>
  <si>
    <t>Équation_Calcul_ha</t>
  </si>
  <si>
    <t>EMR1_Brut_ha</t>
  </si>
  <si>
    <t>BNT1_Brut_ha</t>
  </si>
  <si>
    <t>MAN_Brut_ha</t>
  </si>
  <si>
    <t>RUB1_Brut_ha</t>
  </si>
  <si>
    <t>H2_Brut_ha</t>
  </si>
  <si>
    <t>Somme_Brute_ha</t>
  </si>
  <si>
    <t>Aide supplémentaire à l’aménagement                                          des forêts feuillues et mixtes
2017-2018</t>
  </si>
  <si>
    <t>-0,0385P+(325,112/P)+4,2221</t>
  </si>
  <si>
    <t>-0,0483P+(325,112/P)+4,8778</t>
  </si>
  <si>
    <t>( C2 + (10,523vr-0,535 - 6,406vp-0,563)-0,43) x P</t>
  </si>
  <si>
    <t>C1 = - 0,0385P + (325,112 / P) + 4,2221</t>
  </si>
  <si>
    <t>C2 = - 0,0483P + (325,112/P) + 4,8778</t>
  </si>
  <si>
    <r>
      <t>Valeur = ( C2 + (10,523vr</t>
    </r>
    <r>
      <rPr>
        <b/>
        <vertAlign val="superscript"/>
        <sz val="11"/>
        <color theme="1"/>
        <rFont val="Calibri"/>
        <family val="2"/>
        <scheme val="minor"/>
      </rPr>
      <t>-0,535</t>
    </r>
    <r>
      <rPr>
        <b/>
        <sz val="11"/>
        <color theme="1"/>
        <rFont val="Calibri"/>
        <family val="2"/>
        <scheme val="minor"/>
      </rPr>
      <t xml:space="preserve"> - 6,406vp</t>
    </r>
    <r>
      <rPr>
        <b/>
        <vertAlign val="superscript"/>
        <sz val="11"/>
        <color theme="1"/>
        <rFont val="Calibri"/>
        <family val="2"/>
        <scheme val="minor"/>
      </rPr>
      <t>-0,563</t>
    </r>
    <r>
      <rPr>
        <b/>
        <sz val="11"/>
        <color theme="1"/>
        <rFont val="Calibri"/>
        <family val="2"/>
        <scheme val="minor"/>
      </rPr>
      <t>) - 0,43) x P</t>
    </r>
  </si>
  <si>
    <t>Formule utilisée pour cacluler la réduction (BNT1)</t>
  </si>
  <si>
    <t>Volet I (Transport)</t>
  </si>
  <si>
    <t>Volet II</t>
  </si>
  <si>
    <t>Bois transporté en longueur</t>
  </si>
  <si>
    <t>Mesurage  optimisé</t>
  </si>
  <si>
    <t>BE : Largeur de la zone ou bande entièrement récoltée (m)</t>
  </si>
  <si>
    <t>ZNT : Largeur de la zone ou bande non traitée (m)</t>
  </si>
  <si>
    <t>Volume déclaré (m³)</t>
  </si>
  <si>
    <t>Majoration en fonction de la pente (PE2) (Toutes)</t>
  </si>
  <si>
    <t>Majoration en fonction de la pente (PE2)</t>
  </si>
  <si>
    <t>Coupes partielles : exemples de calculs de réductions pour bandes ou zones non traitées</t>
  </si>
  <si>
    <t>Définition des termes utilisés dans la feuille de calcul :</t>
  </si>
  <si>
    <r>
      <t>Bandes</t>
    </r>
    <r>
      <rPr>
        <b/>
        <sz val="12"/>
        <color theme="1"/>
        <rFont val="Calibri"/>
        <family val="2"/>
        <scheme val="minor"/>
      </rPr>
      <t>*</t>
    </r>
    <r>
      <rPr>
        <b/>
        <sz val="14"/>
        <color theme="1"/>
        <rFont val="Calibri"/>
        <family val="2"/>
        <scheme val="minor"/>
      </rPr>
      <t xml:space="preserve"> :</t>
    </r>
  </si>
  <si>
    <t>Forme étroite et allongée donnée par une coupe qui traverse toute la largeur ou la longueur d'un peuplement ou d'un secteur d'intervention</t>
  </si>
  <si>
    <t>Note 1 : Une bande peut être coupée totalement, coupée partiellement ou résiduelle (non coupée)</t>
  </si>
  <si>
    <t>Note 2 : La largeur d'une bande équivaut minimalement à la demi-hauteur d'un arbre mature (généralement, 10 mètres et plus)</t>
  </si>
  <si>
    <r>
      <rPr>
        <sz val="12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>Inspiré du glossaire du Guide sylvicole du Québec</t>
    </r>
  </si>
  <si>
    <t>Zones :</t>
  </si>
  <si>
    <t>Même définition que le terme bande à l'exception du non-respect de la largeur minimale (moins de 10 mètres)</t>
  </si>
  <si>
    <r>
      <t>1</t>
    </r>
    <r>
      <rPr>
        <b/>
        <vertAlign val="superscript"/>
        <sz val="14"/>
        <color theme="1"/>
        <rFont val="Calibri"/>
        <family val="2"/>
        <scheme val="minor"/>
      </rPr>
      <t>er</t>
    </r>
    <r>
      <rPr>
        <b/>
        <sz val="14"/>
        <color theme="1"/>
        <rFont val="Calibri"/>
        <family val="2"/>
        <scheme val="minor"/>
      </rPr>
      <t xml:space="preserve"> cas : Coupe progressive uniforme (avec zones non traitées de moins de 10 mètres de largeur)</t>
    </r>
  </si>
  <si>
    <r>
      <t>2</t>
    </r>
    <r>
      <rPr>
        <b/>
        <vertAlign val="superscript"/>
        <sz val="14"/>
        <color theme="1"/>
        <rFont val="Calibri"/>
        <family val="2"/>
        <scheme val="minor"/>
      </rPr>
      <t>e</t>
    </r>
    <r>
      <rPr>
        <b/>
        <sz val="14"/>
        <color theme="1"/>
        <rFont val="Calibri"/>
        <family val="2"/>
        <scheme val="minor"/>
      </rPr>
      <t xml:space="preserve"> cas : Coupe progressive par bandes (plus de 10 mètres de largeur)</t>
    </r>
  </si>
  <si>
    <t>Bande partiellement récoltée (15m)</t>
  </si>
  <si>
    <t>Bande non traitée (15m)</t>
  </si>
  <si>
    <t>5m</t>
  </si>
  <si>
    <t>I--15 m--I</t>
  </si>
  <si>
    <t>15 m</t>
  </si>
  <si>
    <t>I-----15 m-----I</t>
  </si>
  <si>
    <t>Calcul de la réduction</t>
  </si>
  <si>
    <r>
      <t>3</t>
    </r>
    <r>
      <rPr>
        <b/>
        <vertAlign val="superscript"/>
        <sz val="14"/>
        <color theme="1"/>
        <rFont val="Calibri"/>
        <family val="2"/>
        <scheme val="minor"/>
      </rPr>
      <t>e</t>
    </r>
    <r>
      <rPr>
        <b/>
        <sz val="14"/>
        <color theme="1"/>
        <rFont val="Calibri"/>
        <family val="2"/>
        <scheme val="minor"/>
      </rPr>
      <t xml:space="preserve"> cas : Coupe totale par bandes alternes (plus de 10 mètres de largeur)</t>
    </r>
  </si>
  <si>
    <t>Non financé, aucune coupe partielle</t>
  </si>
  <si>
    <t>Bande entièrement récoltée (15m)</t>
  </si>
  <si>
    <t>BP : Largeur de la zone ou bande partiellement récoltée (m)</t>
  </si>
  <si>
    <r>
      <t>Volume moyen des tiges du peuplement avant la récolte,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/tige brut (vp)</t>
    </r>
  </si>
  <si>
    <r>
      <t>Volume à prélever,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/ha net (P)</t>
    </r>
  </si>
  <si>
    <r>
      <t>Volume moyen des tiges à récolter,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/tige brut (vr)</t>
    </r>
  </si>
  <si>
    <t>Réduction selon le ratio des trouées récoltées sous forme de CPRS (EMR1)</t>
  </si>
  <si>
    <t xml:space="preserve"> 2017-03-22</t>
  </si>
  <si>
    <t>Calcul_de_l_aide_financiere_2017-2018_Consultation_2017-03-22.xlsm</t>
  </si>
  <si>
    <t xml:space="preserve">
Calcul des taux d'investissement pour les coupes partielles
2017-2018</t>
  </si>
  <si>
    <t>Selon les valeurs inscrites à G47-G48-G49</t>
  </si>
  <si>
    <t>Bande partiellement récoltée (15 m)</t>
  </si>
  <si>
    <t>Bande entièrement récoltée (0 m)</t>
  </si>
  <si>
    <t>Zone non traitée (5 m)</t>
  </si>
  <si>
    <t>5m         5m</t>
  </si>
  <si>
    <r>
      <t>Sentier de débardage (</t>
    </r>
    <r>
      <rPr>
        <sz val="8"/>
        <color theme="1"/>
        <rFont val="Calibri"/>
        <family val="2"/>
        <scheme val="minor"/>
      </rPr>
      <t>maintenant inclus dans la largeur de la bande</t>
    </r>
    <r>
      <rPr>
        <sz val="10"/>
        <color theme="1"/>
        <rFont val="Calibri"/>
        <family val="2"/>
        <scheme val="minor"/>
      </rPr>
      <t>)</t>
    </r>
  </si>
  <si>
    <r>
      <t xml:space="preserve">BP : Largeur de la zone ou bande partiellement récoltée (m) : </t>
    </r>
    <r>
      <rPr>
        <i/>
        <sz val="11"/>
        <color rgb="FFFF0000"/>
        <rFont val="Calibri"/>
        <family val="2"/>
        <scheme val="minor"/>
      </rPr>
      <t>15 m</t>
    </r>
  </si>
  <si>
    <r>
      <t xml:space="preserve">BE : Largeur de la zone ou bande entièrement récoltée (m) : </t>
    </r>
    <r>
      <rPr>
        <i/>
        <sz val="11"/>
        <color rgb="FFFF0000"/>
        <rFont val="Calibri"/>
        <family val="2"/>
        <scheme val="minor"/>
      </rPr>
      <t>0 m</t>
    </r>
  </si>
  <si>
    <r>
      <t xml:space="preserve">ZNT : Largeur de la zone ou bande non traitée (m) : </t>
    </r>
    <r>
      <rPr>
        <i/>
        <sz val="11"/>
        <color rgb="FFFF0000"/>
        <rFont val="Calibri"/>
        <family val="2"/>
        <scheme val="minor"/>
      </rPr>
      <t>5 m</t>
    </r>
  </si>
  <si>
    <r>
      <t xml:space="preserve">ZNT : Largeur de la zone ou bande non traitée (m) : </t>
    </r>
    <r>
      <rPr>
        <i/>
        <sz val="11"/>
        <color rgb="FFFF0000"/>
        <rFont val="Calibri"/>
        <family val="2"/>
        <scheme val="minor"/>
      </rPr>
      <t>15 m</t>
    </r>
  </si>
  <si>
    <t>Résultat : réduction du taux de 10%</t>
  </si>
  <si>
    <t>Résultat : réduction du taux de 30%</t>
  </si>
  <si>
    <t>À inscrire dans la feuille de calcul : cellules G47, G48 et G49</t>
  </si>
  <si>
    <r>
      <t xml:space="preserve">BP : Largeur de la zone ou bande partiellement récoltée (m) : </t>
    </r>
    <r>
      <rPr>
        <i/>
        <sz val="11"/>
        <color rgb="FFFF0000"/>
        <rFont val="Calibri"/>
        <family val="2"/>
        <scheme val="minor"/>
      </rPr>
      <t>0 m</t>
    </r>
  </si>
  <si>
    <r>
      <t xml:space="preserve">BE : Largeur de la zone ou bande entièrement récoltée (m) : </t>
    </r>
    <r>
      <rPr>
        <i/>
        <sz val="11"/>
        <color rgb="FFFF0000"/>
        <rFont val="Calibri"/>
        <family val="2"/>
        <scheme val="minor"/>
      </rPr>
      <t>15 m</t>
    </r>
  </si>
  <si>
    <t>Résultat : non financé</t>
  </si>
  <si>
    <t>Suivi des versions du fichier de l’annexe au calcul des taux d'investissement pour les coupes partielles et de l'aide supplémentaire à l'aménagement des forêts feuillues et mixtes 2017-2018</t>
  </si>
  <si>
    <t>J'atteste que les renseignements fournis dans ce document afin de calculer les taux d'investissement sont complets et conformes à la vérité, au meilleur de mes connaissances.</t>
  </si>
  <si>
    <t>J'atteste que les renseignements fournis dans ce document afin de calculer l'aide supplémentaire sont complets et conformes à la vérité, au meilleur de mes connaissances.</t>
  </si>
  <si>
    <t>Éclaircies commerciales : traitements admissibles 2017-2018</t>
  </si>
  <si>
    <t>Autres coupes partielles : traitements admissibles 2017-2018</t>
  </si>
  <si>
    <t>Formule à utiliser pour le calcul</t>
  </si>
  <si>
    <t>Constante et formule utilisées pour déterminer le taux d'investissement</t>
  </si>
  <si>
    <t>Aide supplémentaire pour les bois de trituration livrés selon la zone de tarification</t>
  </si>
  <si>
    <t>Aide supplémentaire pour les bois de trituration livrés à une autre destination</t>
  </si>
  <si>
    <t>Résumé de l'aide supplémentaire</t>
  </si>
  <si>
    <t>Version 2</t>
  </si>
  <si>
    <t>Sentier de débardage (maintenant inclus dans la largeur de la bande)</t>
  </si>
  <si>
    <t>Réduction pour les bandes non traitées (BNT1)</t>
  </si>
  <si>
    <t>UA</t>
  </si>
  <si>
    <t>• Onglet «Calcul des taux (formules)», formule 1 et 2 : Correction d'une coquille dans la formule présentant la valeur «Total à payer ($/ha)» inscrites à G84 et G101</t>
  </si>
  <si>
    <t>• Le cas d'utilisation «Copier un onglet» est géré pour les onglets «Calcul des taux (formules)» et «Aide suppl. (volets I et II)». Les onglets copiés fonctionnent de la même manière que l'onglet natif (calculs et boutons)</t>
  </si>
  <si>
    <t>Plancher d'investissement</t>
  </si>
  <si>
    <t>Travaux techniques</t>
  </si>
  <si>
    <t>Formule utilisée pour calculer la proportion que la coupe partielle représente par rapport au secteur (Pr)</t>
  </si>
  <si>
    <t>Pr (%) = BP / (BP + BE + ZNT )</t>
  </si>
  <si>
    <r>
      <t>BNT1 = (0,8 x Pr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 - (1,8 x Pr) + 1</t>
    </r>
  </si>
  <si>
    <r>
      <t>BNT1 = (0,8 x Pr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- (1,8 x Pr) + 1</t>
    </r>
  </si>
  <si>
    <t>Secteur d'intervention feuillu ou mixte à dominance feuillue</t>
  </si>
  <si>
    <t>• Onglet «Calcul des taux (formules)», un plancher d'investissement de 39$/ha a été mis en place pour toutes les formules</t>
  </si>
  <si>
    <t>Résumé de l'investissement</t>
  </si>
  <si>
    <t>Calcul_de_l_aide_financiere_2017-2018_2017-04-27.xlsm</t>
  </si>
  <si>
    <t xml:space="preserve"> 2017-04-27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</si>
</sst>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 * #,##0.00_)\ _$_ ;_ * \(#,##0.00\)\ _$_ ;_ * &quot;-&quot;??_)\ _$_ ;_ @_ "/>
    <numFmt numFmtId="164" formatCode="#,##0.00\ &quot;$&quot;"/>
    <numFmt numFmtId="165" formatCode="0.000&quot; m³/tige&quot;"/>
    <numFmt numFmtId="166" formatCode="0.00&quot; mètres&quot;"/>
    <numFmt numFmtId="167" formatCode="0.000"/>
    <numFmt numFmtId="168" formatCode="0.0%"/>
    <numFmt numFmtId="169" formatCode="0.00&quot; m³/ha&quot;"/>
    <numFmt numFmtId="170" formatCode="0.00&quot; $/m³&quot;"/>
    <numFmt numFmtId="171" formatCode="0.00&quot; $/ha&quot;"/>
    <numFmt numFmtId="172" formatCode="0.00&quot; ha&quot;"/>
    <numFmt numFmtId="173" formatCode="0.0&quot; ha&quot;"/>
    <numFmt numFmtId="174" formatCode="0.0&quot; m³&quot;"/>
    <numFmt numFmtId="175" formatCode="0&quot; km&quot;"/>
    <numFmt numFmtId="176" formatCode="0.00000"/>
    <numFmt numFmtId="177" formatCode="_ * #,##0.000_)\ _$_ ;_ * \(#,##0.000\)\ _$_ ;_ * &quot;-&quot;???_)\ _$_ ;_ @_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indexed="9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B0D236"/>
        <bgColor indexed="64"/>
      </patternFill>
    </fill>
    <fill>
      <patternFill patternType="solid">
        <fgColor rgb="FF04203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darkTrellis">
        <fgColor rgb="FF92D050"/>
      </patternFill>
    </fill>
    <fill>
      <patternFill patternType="darkTrellis">
        <fgColor rgb="FF996600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7" tint="-0.249977111117893"/>
      </left>
      <right/>
      <top style="medium">
        <color theme="7" tint="-0.249977111117893"/>
      </top>
      <bottom/>
      <diagonal/>
    </border>
    <border>
      <left/>
      <right/>
      <top style="medium">
        <color theme="7" tint="-0.249977111117893"/>
      </top>
      <bottom/>
      <diagonal/>
    </border>
    <border>
      <left/>
      <right style="medium">
        <color theme="7" tint="-0.249977111117893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/>
      <top/>
      <bottom/>
      <diagonal/>
    </border>
    <border>
      <left/>
      <right style="medium">
        <color theme="7" tint="-0.249977111117893"/>
      </right>
      <top/>
      <bottom/>
      <diagonal/>
    </border>
    <border>
      <left style="medium">
        <color theme="7" tint="-0.249977111117893"/>
      </left>
      <right/>
      <top style="medium">
        <color theme="7" tint="-0.249977111117893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medium">
        <color theme="7" tint="-0.249977111117893"/>
      </top>
      <bottom style="medium">
        <color theme="7" tint="-0.249977111117893"/>
      </bottom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 style="medium">
        <color theme="7" tint="-0.249977111117893"/>
      </bottom>
      <diagonal/>
    </border>
    <border>
      <left style="medium">
        <color theme="7" tint="-0.249977111117893"/>
      </left>
      <right/>
      <top/>
      <bottom style="medium">
        <color theme="7" tint="-0.249977111117893"/>
      </bottom>
      <diagonal/>
    </border>
    <border>
      <left/>
      <right style="medium">
        <color theme="7" tint="-0.249977111117893"/>
      </right>
      <top/>
      <bottom style="medium">
        <color theme="7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/>
      <right/>
      <top style="medium">
        <color theme="7" tint="-0.249977111117893"/>
      </top>
      <bottom style="medium">
        <color theme="7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1">
    <xf numFmtId="0" fontId="0" fillId="0" borderId="0" xfId="0"/>
    <xf numFmtId="0" fontId="2" fillId="0" borderId="0" xfId="0" applyFont="1"/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0" fillId="4" borderId="14" xfId="0" applyFill="1" applyBorder="1" applyAlignment="1">
      <alignment horizontal="center" vertical="center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0" xfId="0"/>
    <xf numFmtId="9" fontId="4" fillId="7" borderId="18" xfId="0" applyNumberFormat="1" applyFont="1" applyFill="1" applyBorder="1" applyAlignment="1" applyProtection="1">
      <alignment vertical="center" wrapText="1"/>
      <protection locked="0"/>
    </xf>
    <xf numFmtId="166" fontId="4" fillId="7" borderId="18" xfId="0" applyNumberFormat="1" applyFont="1" applyFill="1" applyBorder="1" applyAlignment="1" applyProtection="1">
      <alignment vertical="center" wrapText="1"/>
      <protection locked="0"/>
    </xf>
    <xf numFmtId="165" fontId="4" fillId="7" borderId="18" xfId="0" applyNumberFormat="1" applyFont="1" applyFill="1" applyBorder="1" applyAlignment="1" applyProtection="1">
      <alignment vertical="center" wrapText="1"/>
      <protection locked="0"/>
    </xf>
    <xf numFmtId="10" fontId="4" fillId="7" borderId="18" xfId="1" applyNumberFormat="1" applyFont="1" applyFill="1" applyBorder="1" applyAlignment="1" applyProtection="1">
      <alignment horizontal="right" vertical="center"/>
      <protection locked="0"/>
    </xf>
    <xf numFmtId="0" fontId="0" fillId="7" borderId="18" xfId="0" applyFont="1" applyFill="1" applyBorder="1" applyAlignment="1" applyProtection="1">
      <alignment horizontal="right" vertical="center"/>
      <protection locked="0"/>
    </xf>
    <xf numFmtId="0" fontId="0" fillId="0" borderId="3" xfId="0" applyBorder="1"/>
    <xf numFmtId="0" fontId="0" fillId="0" borderId="11" xfId="0" applyBorder="1"/>
    <xf numFmtId="0" fontId="0" fillId="0" borderId="9" xfId="0" applyBorder="1"/>
    <xf numFmtId="165" fontId="0" fillId="7" borderId="18" xfId="0" applyNumberFormat="1" applyFont="1" applyFill="1" applyBorder="1" applyAlignment="1" applyProtection="1">
      <alignment horizontal="right" vertical="center" wrapText="1"/>
      <protection locked="0"/>
    </xf>
    <xf numFmtId="0" fontId="2" fillId="7" borderId="0" xfId="0" applyFont="1" applyFill="1" applyBorder="1" applyAlignment="1" applyProtection="1">
      <protection hidden="1"/>
    </xf>
    <xf numFmtId="0" fontId="0" fillId="4" borderId="18" xfId="0" applyFont="1" applyFill="1" applyBorder="1" applyAlignment="1" applyProtection="1">
      <alignment horizontal="center"/>
      <protection hidden="1"/>
    </xf>
    <xf numFmtId="0" fontId="0" fillId="0" borderId="0" xfId="0" applyBorder="1"/>
    <xf numFmtId="0" fontId="0" fillId="0" borderId="37" xfId="0" applyBorder="1"/>
    <xf numFmtId="0" fontId="0" fillId="0" borderId="38" xfId="0" applyBorder="1"/>
    <xf numFmtId="0" fontId="0" fillId="0" borderId="13" xfId="0" applyBorder="1"/>
    <xf numFmtId="0" fontId="0" fillId="0" borderId="12" xfId="0" applyBorder="1"/>
    <xf numFmtId="0" fontId="0" fillId="0" borderId="39" xfId="0" applyBorder="1"/>
    <xf numFmtId="0" fontId="0" fillId="0" borderId="40" xfId="0" applyBorder="1"/>
    <xf numFmtId="166" fontId="0" fillId="7" borderId="18" xfId="0" applyNumberFormat="1" applyFont="1" applyFill="1" applyBorder="1" applyAlignment="1" applyProtection="1">
      <alignment horizontal="right" vertical="center"/>
      <protection locked="0"/>
    </xf>
    <xf numFmtId="169" fontId="0" fillId="7" borderId="18" xfId="0" applyNumberFormat="1" applyFont="1" applyFill="1" applyBorder="1" applyAlignment="1" applyProtection="1">
      <alignment vertical="center" wrapText="1"/>
      <protection locked="0"/>
    </xf>
    <xf numFmtId="0" fontId="0" fillId="0" borderId="38" xfId="0" applyFill="1" applyBorder="1"/>
    <xf numFmtId="0" fontId="0" fillId="0" borderId="1" xfId="0" applyBorder="1"/>
    <xf numFmtId="0" fontId="0" fillId="0" borderId="10" xfId="0" applyBorder="1"/>
    <xf numFmtId="0" fontId="0" fillId="0" borderId="7" xfId="0" applyBorder="1"/>
    <xf numFmtId="0" fontId="0" fillId="7" borderId="0" xfId="0" applyFill="1" applyProtection="1">
      <protection hidden="1"/>
    </xf>
    <xf numFmtId="0" fontId="0" fillId="7" borderId="0" xfId="0" applyFill="1" applyAlignment="1" applyProtection="1">
      <alignment horizontal="center"/>
      <protection hidden="1"/>
    </xf>
    <xf numFmtId="0" fontId="4" fillId="3" borderId="9" xfId="0" applyFont="1" applyFill="1" applyBorder="1" applyAlignment="1" applyProtection="1">
      <alignment vertical="center"/>
      <protection hidden="1"/>
    </xf>
    <xf numFmtId="0" fontId="3" fillId="7" borderId="0" xfId="0" applyFont="1" applyFill="1" applyAlignment="1" applyProtection="1">
      <alignment vertical="center"/>
      <protection hidden="1"/>
    </xf>
    <xf numFmtId="0" fontId="3" fillId="7" borderId="0" xfId="0" applyFont="1" applyFill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2" fillId="7" borderId="0" xfId="0" applyFont="1" applyFill="1" applyProtection="1">
      <protection hidden="1"/>
    </xf>
    <xf numFmtId="0" fontId="0" fillId="7" borderId="0" xfId="0" applyFont="1" applyFill="1" applyProtection="1">
      <protection hidden="1"/>
    </xf>
    <xf numFmtId="0" fontId="0" fillId="7" borderId="0" xfId="0" applyFont="1" applyFill="1" applyAlignment="1" applyProtection="1">
      <alignment horizontal="center"/>
      <protection hidden="1"/>
    </xf>
    <xf numFmtId="0" fontId="0" fillId="7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7" borderId="0" xfId="0" applyFill="1" applyBorder="1" applyProtection="1">
      <protection hidden="1"/>
    </xf>
    <xf numFmtId="0" fontId="0" fillId="0" borderId="0" xfId="0" applyFill="1" applyBorder="1" applyProtection="1">
      <protection hidden="1"/>
    </xf>
    <xf numFmtId="2" fontId="0" fillId="7" borderId="18" xfId="0" applyNumberFormat="1" applyFill="1" applyBorder="1" applyAlignment="1" applyProtection="1">
      <alignment horizontal="center" vertical="center"/>
      <protection locked="0"/>
    </xf>
    <xf numFmtId="9" fontId="0" fillId="0" borderId="18" xfId="1" applyFont="1" applyBorder="1"/>
    <xf numFmtId="9" fontId="4" fillId="0" borderId="6" xfId="0" applyNumberFormat="1" applyFont="1" applyFill="1" applyBorder="1" applyAlignment="1" applyProtection="1">
      <alignment vertical="center" wrapText="1"/>
      <protection locked="0"/>
    </xf>
    <xf numFmtId="1" fontId="4" fillId="0" borderId="6" xfId="0" applyNumberFormat="1" applyFont="1" applyFill="1" applyBorder="1" applyAlignment="1" applyProtection="1">
      <alignment vertical="center" wrapText="1"/>
      <protection locked="0"/>
    </xf>
    <xf numFmtId="171" fontId="17" fillId="5" borderId="6" xfId="0" applyNumberFormat="1" applyFont="1" applyFill="1" applyBorder="1" applyAlignment="1" applyProtection="1">
      <alignment vertical="center" wrapText="1"/>
      <protection hidden="1"/>
    </xf>
    <xf numFmtId="174" fontId="4" fillId="0" borderId="6" xfId="0" applyNumberFormat="1" applyFont="1" applyFill="1" applyBorder="1" applyAlignment="1" applyProtection="1">
      <alignment vertical="center" wrapText="1"/>
      <protection locked="0"/>
    </xf>
    <xf numFmtId="9" fontId="4" fillId="0" borderId="6" xfId="0" applyNumberFormat="1" applyFont="1" applyFill="1" applyBorder="1" applyAlignment="1" applyProtection="1">
      <alignment horizontal="right" vertical="center" wrapText="1"/>
      <protection locked="0"/>
    </xf>
    <xf numFmtId="173" fontId="4" fillId="0" borderId="6" xfId="0" applyNumberFormat="1" applyFont="1" applyFill="1" applyBorder="1" applyAlignment="1" applyProtection="1">
      <alignment horizontal="right" vertical="center" wrapText="1"/>
      <protection locked="0"/>
    </xf>
    <xf numFmtId="9" fontId="4" fillId="4" borderId="6" xfId="0" applyNumberFormat="1" applyFont="1" applyFill="1" applyBorder="1" applyAlignment="1" applyProtection="1">
      <alignment vertical="center" wrapText="1"/>
      <protection hidden="1"/>
    </xf>
    <xf numFmtId="0" fontId="4" fillId="0" borderId="6" xfId="0" applyNumberFormat="1" applyFont="1" applyFill="1" applyBorder="1" applyAlignment="1" applyProtection="1">
      <alignment horizontal="right" vertical="center" wrapText="1"/>
      <protection locked="0"/>
    </xf>
    <xf numFmtId="175" fontId="4" fillId="0" borderId="6" xfId="0" applyNumberFormat="1" applyFont="1" applyFill="1" applyBorder="1" applyAlignment="1" applyProtection="1">
      <alignment vertical="center" wrapText="1"/>
      <protection locked="0"/>
    </xf>
    <xf numFmtId="1" fontId="4" fillId="0" borderId="6" xfId="0" applyNumberFormat="1" applyFont="1" applyFill="1" applyBorder="1" applyAlignment="1" applyProtection="1">
      <alignment horizontal="right" vertical="center" wrapText="1"/>
      <protection locked="0"/>
    </xf>
    <xf numFmtId="171" fontId="9" fillId="5" borderId="6" xfId="0" applyNumberFormat="1" applyFont="1" applyFill="1" applyBorder="1" applyAlignment="1" applyProtection="1">
      <alignment vertical="center" wrapText="1"/>
      <protection hidden="1"/>
    </xf>
    <xf numFmtId="0" fontId="4" fillId="3" borderId="5" xfId="0" applyFont="1" applyFill="1" applyBorder="1" applyAlignment="1" applyProtection="1">
      <alignment vertical="center"/>
      <protection hidden="1"/>
    </xf>
    <xf numFmtId="9" fontId="4" fillId="7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7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7" borderId="6" xfId="0" applyNumberFormat="1" applyFont="1" applyFill="1" applyBorder="1" applyAlignment="1" applyProtection="1">
      <alignment horizontal="right" vertical="center" wrapText="1"/>
      <protection locked="0"/>
    </xf>
    <xf numFmtId="174" fontId="4" fillId="7" borderId="6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6" xfId="0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 applyAlignment="1" applyProtection="1">
      <alignment vertical="center"/>
      <protection hidden="1"/>
    </xf>
    <xf numFmtId="0" fontId="6" fillId="7" borderId="0" xfId="0" applyFont="1" applyFill="1" applyBorder="1" applyProtection="1">
      <protection hidden="1"/>
    </xf>
    <xf numFmtId="2" fontId="0" fillId="7" borderId="0" xfId="0" applyNumberFormat="1" applyFill="1" applyProtection="1">
      <protection hidden="1"/>
    </xf>
    <xf numFmtId="0" fontId="0" fillId="7" borderId="18" xfId="0" applyFill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Fill="1" applyProtection="1"/>
    <xf numFmtId="49" fontId="2" fillId="0" borderId="0" xfId="0" applyNumberFormat="1" applyFont="1" applyProtection="1"/>
    <xf numFmtId="49" fontId="0" fillId="0" borderId="19" xfId="0" applyNumberFormat="1" applyBorder="1" applyProtection="1"/>
    <xf numFmtId="49" fontId="0" fillId="0" borderId="17" xfId="0" applyNumberFormat="1" applyBorder="1" applyProtection="1"/>
    <xf numFmtId="49" fontId="0" fillId="0" borderId="0" xfId="0" applyNumberFormat="1" applyProtection="1"/>
    <xf numFmtId="49" fontId="0" fillId="0" borderId="16" xfId="0" applyNumberFormat="1" applyBorder="1" applyProtection="1"/>
    <xf numFmtId="49" fontId="0" fillId="0" borderId="19" xfId="0" applyNumberFormat="1" applyFont="1" applyBorder="1" applyProtection="1"/>
    <xf numFmtId="49" fontId="0" fillId="0" borderId="16" xfId="0" applyNumberFormat="1" applyFont="1" applyBorder="1" applyProtection="1"/>
    <xf numFmtId="49" fontId="8" fillId="0" borderId="0" xfId="0" applyNumberFormat="1" applyFont="1" applyBorder="1" applyAlignment="1" applyProtection="1">
      <alignment horizontal="left" vertical="center"/>
    </xf>
    <xf numFmtId="10" fontId="0" fillId="0" borderId="19" xfId="1" applyNumberFormat="1" applyFont="1" applyBorder="1" applyProtection="1"/>
    <xf numFmtId="10" fontId="0" fillId="0" borderId="17" xfId="1" applyNumberFormat="1" applyFont="1" applyBorder="1" applyProtection="1"/>
    <xf numFmtId="168" fontId="0" fillId="0" borderId="17" xfId="1" applyNumberFormat="1" applyFont="1" applyBorder="1" applyProtection="1"/>
    <xf numFmtId="10" fontId="0" fillId="0" borderId="1" xfId="1" applyNumberFormat="1" applyFont="1" applyBorder="1" applyProtection="1"/>
    <xf numFmtId="9" fontId="0" fillId="0" borderId="2" xfId="1" applyNumberFormat="1" applyFont="1" applyBorder="1" applyProtection="1"/>
    <xf numFmtId="0" fontId="0" fillId="0" borderId="3" xfId="0" applyBorder="1" applyProtection="1"/>
    <xf numFmtId="10" fontId="0" fillId="0" borderId="10" xfId="1" applyNumberFormat="1" applyFont="1" applyBorder="1" applyProtection="1"/>
    <xf numFmtId="9" fontId="0" fillId="0" borderId="0" xfId="1" applyNumberFormat="1" applyFont="1" applyBorder="1" applyProtection="1"/>
    <xf numFmtId="0" fontId="0" fillId="0" borderId="11" xfId="0" applyBorder="1" applyProtection="1"/>
    <xf numFmtId="49" fontId="0" fillId="0" borderId="7" xfId="0" applyNumberFormat="1" applyBorder="1" applyProtection="1"/>
    <xf numFmtId="9" fontId="0" fillId="0" borderId="8" xfId="1" applyNumberFormat="1" applyFont="1" applyFill="1" applyBorder="1" applyProtection="1"/>
    <xf numFmtId="0" fontId="0" fillId="0" borderId="9" xfId="0" applyBorder="1" applyProtection="1"/>
    <xf numFmtId="0" fontId="2" fillId="0" borderId="0" xfId="0" applyFont="1" applyProtection="1"/>
    <xf numFmtId="0" fontId="0" fillId="0" borderId="19" xfId="0" applyFont="1" applyBorder="1" applyAlignment="1" applyProtection="1">
      <alignment horizontal="left"/>
    </xf>
    <xf numFmtId="2" fontId="0" fillId="0" borderId="16" xfId="0" applyNumberFormat="1" applyBorder="1" applyAlignment="1" applyProtection="1">
      <alignment horizontal="left"/>
    </xf>
    <xf numFmtId="2" fontId="0" fillId="0" borderId="16" xfId="0" applyNumberFormat="1" applyFill="1" applyBorder="1" applyAlignment="1" applyProtection="1">
      <alignment horizontal="left"/>
    </xf>
    <xf numFmtId="2" fontId="0" fillId="0" borderId="17" xfId="0" applyNumberFormat="1" applyFill="1" applyBorder="1" applyAlignment="1" applyProtection="1">
      <alignment horizontal="left"/>
    </xf>
    <xf numFmtId="0" fontId="0" fillId="0" borderId="19" xfId="0" applyFill="1" applyBorder="1" applyProtection="1"/>
    <xf numFmtId="0" fontId="0" fillId="0" borderId="16" xfId="0" applyFill="1" applyBorder="1" applyProtection="1"/>
    <xf numFmtId="49" fontId="0" fillId="0" borderId="17" xfId="0" applyNumberFormat="1" applyFont="1" applyBorder="1" applyProtection="1"/>
    <xf numFmtId="0" fontId="0" fillId="0" borderId="1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center"/>
    </xf>
    <xf numFmtId="0" fontId="0" fillId="0" borderId="2" xfId="0" applyBorder="1" applyProtection="1"/>
    <xf numFmtId="0" fontId="0" fillId="0" borderId="2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49" fontId="0" fillId="0" borderId="10" xfId="0" applyNumberFormat="1" applyBorder="1" applyProtection="1"/>
    <xf numFmtId="49" fontId="0" fillId="0" borderId="0" xfId="0" applyNumberFormat="1" applyBorder="1" applyProtection="1"/>
    <xf numFmtId="49" fontId="0" fillId="0" borderId="11" xfId="0" applyNumberFormat="1" applyBorder="1" applyProtection="1"/>
    <xf numFmtId="0" fontId="0" fillId="0" borderId="0" xfId="0" applyFill="1" applyBorder="1" applyProtection="1"/>
    <xf numFmtId="49" fontId="0" fillId="0" borderId="0" xfId="0" applyNumberFormat="1" applyFill="1" applyBorder="1" applyProtection="1"/>
    <xf numFmtId="49" fontId="0" fillId="0" borderId="11" xfId="0" applyNumberForma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8" xfId="0" applyFill="1" applyBorder="1" applyProtection="1"/>
    <xf numFmtId="49" fontId="0" fillId="0" borderId="8" xfId="0" applyNumberFormat="1" applyFill="1" applyBorder="1" applyProtection="1"/>
    <xf numFmtId="49" fontId="0" fillId="0" borderId="9" xfId="0" applyNumberFormat="1" applyFill="1" applyBorder="1" applyProtection="1"/>
    <xf numFmtId="1" fontId="2" fillId="0" borderId="0" xfId="0" applyNumberFormat="1" applyFont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" fontId="0" fillId="0" borderId="1" xfId="0" applyNumberFormat="1" applyBorder="1" applyAlignment="1" applyProtection="1">
      <alignment horizontal="left"/>
    </xf>
    <xf numFmtId="0" fontId="0" fillId="0" borderId="3" xfId="0" applyFont="1" applyFill="1" applyBorder="1" applyAlignment="1" applyProtection="1">
      <alignment horizontal="left"/>
    </xf>
    <xf numFmtId="1" fontId="0" fillId="0" borderId="10" xfId="0" applyNumberFormat="1" applyBorder="1" applyAlignment="1" applyProtection="1">
      <alignment horizontal="left"/>
    </xf>
    <xf numFmtId="0" fontId="0" fillId="0" borderId="11" xfId="0" applyFont="1" applyFill="1" applyBorder="1" applyAlignment="1" applyProtection="1">
      <alignment horizontal="left"/>
    </xf>
    <xf numFmtId="1" fontId="0" fillId="0" borderId="7" xfId="0" applyNumberFormat="1" applyBorder="1" applyAlignment="1" applyProtection="1">
      <alignment horizontal="left"/>
    </xf>
    <xf numFmtId="0" fontId="0" fillId="0" borderId="9" xfId="0" applyFont="1" applyFill="1" applyBorder="1" applyAlignment="1" applyProtection="1">
      <alignment horizontal="left"/>
    </xf>
    <xf numFmtId="0" fontId="0" fillId="4" borderId="18" xfId="0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vertical="center"/>
      <protection hidden="1"/>
    </xf>
    <xf numFmtId="0" fontId="0" fillId="7" borderId="0" xfId="0" applyFill="1" applyAlignment="1" applyProtection="1">
      <alignment wrapText="1"/>
      <protection hidden="1"/>
    </xf>
    <xf numFmtId="0" fontId="4" fillId="7" borderId="18" xfId="0" applyFont="1" applyFill="1" applyBorder="1" applyAlignment="1" applyProtection="1">
      <alignment horizontal="left" vertical="center"/>
      <protection locked="0"/>
    </xf>
    <xf numFmtId="0" fontId="0" fillId="7" borderId="18" xfId="0" applyFont="1" applyFill="1" applyBorder="1" applyAlignment="1" applyProtection="1">
      <alignment horizontal="left" vertical="center" wrapText="1"/>
      <protection locked="0"/>
    </xf>
    <xf numFmtId="49" fontId="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Protection="1"/>
    <xf numFmtId="0" fontId="0" fillId="7" borderId="0" xfId="0" applyFill="1"/>
    <xf numFmtId="0" fontId="2" fillId="7" borderId="42" xfId="0" applyFont="1" applyFill="1" applyBorder="1"/>
    <xf numFmtId="0" fontId="0" fillId="7" borderId="43" xfId="0" applyFill="1" applyBorder="1"/>
    <xf numFmtId="0" fontId="0" fillId="7" borderId="44" xfId="0" applyFill="1" applyBorder="1"/>
    <xf numFmtId="0" fontId="0" fillId="7" borderId="45" xfId="0" applyFill="1" applyBorder="1"/>
    <xf numFmtId="0" fontId="0" fillId="7" borderId="0" xfId="0" applyFill="1" applyBorder="1"/>
    <xf numFmtId="14" fontId="0" fillId="7" borderId="0" xfId="0" applyNumberFormat="1" applyFill="1" applyBorder="1" applyAlignment="1">
      <alignment horizontal="left"/>
    </xf>
    <xf numFmtId="0" fontId="0" fillId="7" borderId="46" xfId="0" applyFill="1" applyBorder="1"/>
    <xf numFmtId="0" fontId="0" fillId="7" borderId="47" xfId="0" applyFill="1" applyBorder="1"/>
    <xf numFmtId="0" fontId="0" fillId="7" borderId="13" xfId="0" applyFill="1" applyBorder="1"/>
    <xf numFmtId="0" fontId="0" fillId="7" borderId="48" xfId="0" applyFill="1" applyBorder="1"/>
    <xf numFmtId="49" fontId="0" fillId="0" borderId="1" xfId="0" applyNumberFormat="1" applyBorder="1" applyProtection="1"/>
    <xf numFmtId="0" fontId="0" fillId="0" borderId="8" xfId="0" applyBorder="1" applyProtection="1"/>
    <xf numFmtId="49" fontId="0" fillId="0" borderId="0" xfId="0" applyNumberFormat="1" applyFont="1" applyBorder="1" applyProtection="1"/>
    <xf numFmtId="2" fontId="0" fillId="0" borderId="0" xfId="0" applyNumberFormat="1" applyFill="1" applyBorder="1" applyAlignment="1" applyProtection="1">
      <alignment horizontal="left"/>
    </xf>
    <xf numFmtId="9" fontId="0" fillId="0" borderId="0" xfId="1" applyNumberFormat="1" applyFont="1" applyFill="1" applyBorder="1" applyProtection="1"/>
    <xf numFmtId="10" fontId="0" fillId="0" borderId="0" xfId="1" applyNumberFormat="1" applyFont="1" applyBorder="1" applyProtection="1"/>
    <xf numFmtId="168" fontId="0" fillId="0" borderId="0" xfId="1" applyNumberFormat="1" applyFont="1" applyBorder="1" applyProtection="1"/>
    <xf numFmtId="0" fontId="0" fillId="7" borderId="18" xfId="0" applyFill="1" applyBorder="1" applyAlignment="1" applyProtection="1">
      <alignment horizontal="left"/>
      <protection locked="0"/>
    </xf>
    <xf numFmtId="0" fontId="4" fillId="4" borderId="22" xfId="0" applyFont="1" applyFill="1" applyBorder="1" applyAlignment="1">
      <alignment vertical="center"/>
    </xf>
    <xf numFmtId="0" fontId="22" fillId="7" borderId="0" xfId="0" applyFont="1" applyFill="1" applyProtection="1">
      <protection hidden="1"/>
    </xf>
    <xf numFmtId="170" fontId="0" fillId="7" borderId="0" xfId="0" applyNumberFormat="1" applyFill="1" applyProtection="1">
      <protection hidden="1"/>
    </xf>
    <xf numFmtId="10" fontId="0" fillId="7" borderId="0" xfId="0" applyNumberFormat="1" applyFill="1" applyProtection="1">
      <protection hidden="1"/>
    </xf>
    <xf numFmtId="164" fontId="0" fillId="7" borderId="0" xfId="0" applyNumberFormat="1" applyFill="1" applyProtection="1">
      <protection hidden="1"/>
    </xf>
    <xf numFmtId="0" fontId="0" fillId="7" borderId="0" xfId="0" applyNumberFormat="1" applyFill="1" applyProtection="1">
      <protection hidden="1"/>
    </xf>
    <xf numFmtId="2" fontId="22" fillId="7" borderId="0" xfId="0" applyNumberFormat="1" applyFont="1" applyFill="1" applyProtection="1">
      <protection hidden="1"/>
    </xf>
    <xf numFmtId="2" fontId="23" fillId="7" borderId="0" xfId="0" applyNumberFormat="1" applyFont="1" applyFill="1" applyProtection="1">
      <protection hidden="1"/>
    </xf>
    <xf numFmtId="9" fontId="0" fillId="7" borderId="0" xfId="1" applyFont="1" applyFill="1" applyProtection="1">
      <protection hidden="1"/>
    </xf>
    <xf numFmtId="168" fontId="0" fillId="0" borderId="19" xfId="1" applyNumberFormat="1" applyFont="1" applyBorder="1" applyProtection="1"/>
    <xf numFmtId="0" fontId="0" fillId="4" borderId="2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0" borderId="54" xfId="0" applyBorder="1"/>
    <xf numFmtId="0" fontId="0" fillId="0" borderId="55" xfId="0" applyBorder="1"/>
    <xf numFmtId="0" fontId="0" fillId="0" borderId="41" xfId="0" applyBorder="1"/>
    <xf numFmtId="0" fontId="0" fillId="0" borderId="56" xfId="0" applyBorder="1"/>
    <xf numFmtId="0" fontId="2" fillId="0" borderId="18" xfId="0" applyFont="1" applyBorder="1" applyAlignment="1">
      <alignment horizontal="center"/>
    </xf>
    <xf numFmtId="168" fontId="0" fillId="4" borderId="17" xfId="1" applyNumberFormat="1" applyFont="1" applyFill="1" applyBorder="1" applyAlignment="1" applyProtection="1">
      <alignment horizontal="center" vertical="center" wrapText="1"/>
      <protection hidden="1"/>
    </xf>
    <xf numFmtId="0" fontId="2" fillId="4" borderId="18" xfId="0" applyFont="1" applyFill="1" applyBorder="1" applyAlignment="1" applyProtection="1">
      <alignment horizontal="center" vertical="center"/>
      <protection hidden="1"/>
    </xf>
    <xf numFmtId="2" fontId="2" fillId="4" borderId="6" xfId="0" applyNumberFormat="1" applyFont="1" applyFill="1" applyBorder="1" applyAlignment="1" applyProtection="1">
      <alignment horizontal="center" vertical="center"/>
      <protection hidden="1"/>
    </xf>
    <xf numFmtId="170" fontId="2" fillId="4" borderId="18" xfId="0" applyNumberFormat="1" applyFont="1" applyFill="1" applyBorder="1" applyAlignment="1" applyProtection="1">
      <alignment horizontal="right" vertical="center"/>
      <protection hidden="1"/>
    </xf>
    <xf numFmtId="170" fontId="0" fillId="4" borderId="18" xfId="0" applyNumberFormat="1" applyFont="1" applyFill="1" applyBorder="1" applyAlignment="1" applyProtection="1">
      <alignment horizontal="right" vertical="center"/>
      <protection hidden="1"/>
    </xf>
    <xf numFmtId="171" fontId="2" fillId="4" borderId="18" xfId="0" applyNumberFormat="1" applyFont="1" applyFill="1" applyBorder="1" applyAlignment="1" applyProtection="1">
      <alignment horizontal="right" vertical="center"/>
      <protection hidden="1"/>
    </xf>
    <xf numFmtId="171" fontId="0" fillId="4" borderId="18" xfId="0" applyNumberFormat="1" applyFont="1" applyFill="1" applyBorder="1" applyAlignment="1" applyProtection="1">
      <alignment horizontal="right" vertical="center"/>
      <protection hidden="1"/>
    </xf>
    <xf numFmtId="9" fontId="0" fillId="4" borderId="18" xfId="0" applyNumberFormat="1" applyFont="1" applyFill="1" applyBorder="1" applyAlignment="1" applyProtection="1">
      <alignment horizontal="right" vertical="center"/>
      <protection hidden="1"/>
    </xf>
    <xf numFmtId="164" fontId="5" fillId="4" borderId="18" xfId="0" applyNumberFormat="1" applyFont="1" applyFill="1" applyBorder="1" applyAlignment="1" applyProtection="1">
      <alignment horizontal="right" vertical="center"/>
      <protection hidden="1"/>
    </xf>
    <xf numFmtId="171" fontId="5" fillId="4" borderId="18" xfId="0" applyNumberFormat="1" applyFont="1" applyFill="1" applyBorder="1" applyAlignment="1" applyProtection="1">
      <alignment horizontal="right" vertical="center"/>
      <protection hidden="1"/>
    </xf>
    <xf numFmtId="10" fontId="0" fillId="4" borderId="18" xfId="0" applyNumberFormat="1" applyFont="1" applyFill="1" applyBorder="1" applyAlignment="1" applyProtection="1">
      <alignment horizontal="right" vertical="center"/>
      <protection hidden="1"/>
    </xf>
    <xf numFmtId="10" fontId="0" fillId="4" borderId="18" xfId="1" applyNumberFormat="1" applyFont="1" applyFill="1" applyBorder="1" applyAlignment="1" applyProtection="1">
      <alignment horizontal="right" vertical="center"/>
      <protection hidden="1"/>
    </xf>
    <xf numFmtId="170" fontId="0" fillId="4" borderId="18" xfId="1" applyNumberFormat="1" applyFont="1" applyFill="1" applyBorder="1" applyAlignment="1" applyProtection="1">
      <alignment horizontal="right" vertical="center"/>
      <protection hidden="1"/>
    </xf>
    <xf numFmtId="0" fontId="24" fillId="4" borderId="6" xfId="0" applyFont="1" applyFill="1" applyBorder="1" applyAlignment="1" applyProtection="1">
      <alignment vertical="center" wrapText="1"/>
      <protection hidden="1"/>
    </xf>
    <xf numFmtId="0" fontId="24" fillId="4" borderId="6" xfId="0" applyFont="1" applyFill="1" applyBorder="1" applyAlignment="1" applyProtection="1">
      <alignment vertical="center"/>
      <protection hidden="1"/>
    </xf>
    <xf numFmtId="0" fontId="24" fillId="4" borderId="6" xfId="0" applyFont="1" applyFill="1" applyBorder="1" applyAlignment="1" applyProtection="1">
      <alignment horizontal="center" vertical="center" wrapText="1"/>
      <protection hidden="1"/>
    </xf>
    <xf numFmtId="9" fontId="1" fillId="4" borderId="18" xfId="1" applyNumberFormat="1" applyFont="1" applyFill="1" applyBorder="1" applyAlignment="1" applyProtection="1">
      <alignment horizontal="center" vertical="center" wrapText="1"/>
      <protection hidden="1"/>
    </xf>
    <xf numFmtId="164" fontId="9" fillId="4" borderId="18" xfId="0" applyNumberFormat="1" applyFont="1" applyFill="1" applyBorder="1" applyAlignment="1" applyProtection="1">
      <alignment vertical="center" wrapText="1"/>
      <protection hidden="1"/>
    </xf>
    <xf numFmtId="172" fontId="5" fillId="4" borderId="18" xfId="0" applyNumberFormat="1" applyFont="1" applyFill="1" applyBorder="1" applyAlignment="1" applyProtection="1">
      <alignment horizontal="right" vertical="center"/>
      <protection hidden="1"/>
    </xf>
    <xf numFmtId="166" fontId="0" fillId="7" borderId="0" xfId="0" applyNumberFormat="1" applyFill="1" applyProtection="1">
      <protection hidden="1"/>
    </xf>
    <xf numFmtId="0" fontId="0" fillId="0" borderId="19" xfId="0" applyBorder="1"/>
    <xf numFmtId="0" fontId="0" fillId="0" borderId="17" xfId="0" applyFill="1" applyBorder="1"/>
    <xf numFmtId="2" fontId="0" fillId="7" borderId="0" xfId="0" applyNumberFormat="1" applyFont="1" applyFill="1" applyProtection="1">
      <protection hidden="1"/>
    </xf>
    <xf numFmtId="164" fontId="0" fillId="7" borderId="0" xfId="0" applyNumberFormat="1" applyFont="1" applyFill="1" applyProtection="1">
      <protection hidden="1"/>
    </xf>
    <xf numFmtId="9" fontId="1" fillId="7" borderId="0" xfId="1" applyFont="1" applyFill="1" applyProtection="1">
      <protection hidden="1"/>
    </xf>
    <xf numFmtId="10" fontId="1" fillId="7" borderId="0" xfId="1" applyNumberFormat="1" applyFont="1" applyFill="1" applyAlignment="1" applyProtection="1">
      <alignment horizontal="right"/>
      <protection hidden="1"/>
    </xf>
    <xf numFmtId="0" fontId="0" fillId="0" borderId="0" xfId="0" applyFill="1"/>
    <xf numFmtId="0" fontId="19" fillId="0" borderId="0" xfId="0" applyFont="1" applyAlignment="1">
      <alignment horizontal="left"/>
    </xf>
    <xf numFmtId="0" fontId="26" fillId="0" borderId="2" xfId="0" applyFont="1" applyBorder="1" applyAlignment="1">
      <alignment horizontal="left"/>
    </xf>
    <xf numFmtId="0" fontId="0" fillId="0" borderId="2" xfId="0" applyBorder="1"/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6" fillId="0" borderId="8" xfId="0" applyFont="1" applyBorder="1" applyAlignment="1">
      <alignment horizontal="left"/>
    </xf>
    <xf numFmtId="0" fontId="0" fillId="0" borderId="8" xfId="0" applyBorder="1"/>
    <xf numFmtId="0" fontId="19" fillId="0" borderId="0" xfId="0" applyFont="1"/>
    <xf numFmtId="0" fontId="0" fillId="0" borderId="0" xfId="0" applyFill="1" applyBorder="1"/>
    <xf numFmtId="0" fontId="0" fillId="11" borderId="60" xfId="0" applyFill="1" applyBorder="1"/>
    <xf numFmtId="0" fontId="0" fillId="12" borderId="57" xfId="0" applyFill="1" applyBorder="1"/>
    <xf numFmtId="0" fontId="0" fillId="13" borderId="58" xfId="0" applyFill="1" applyBorder="1"/>
    <xf numFmtId="0" fontId="0" fillId="12" borderId="58" xfId="0" applyFill="1" applyBorder="1"/>
    <xf numFmtId="0" fontId="0" fillId="12" borderId="59" xfId="0" applyFill="1" applyBorder="1"/>
    <xf numFmtId="0" fontId="0" fillId="11" borderId="61" xfId="0" applyFill="1" applyBorder="1"/>
    <xf numFmtId="0" fontId="0" fillId="12" borderId="60" xfId="0" applyFill="1" applyBorder="1"/>
    <xf numFmtId="0" fontId="0" fillId="13" borderId="0" xfId="0" applyFill="1" applyBorder="1"/>
    <xf numFmtId="0" fontId="0" fillId="12" borderId="0" xfId="0" applyFill="1" applyBorder="1"/>
    <xf numFmtId="0" fontId="0" fillId="12" borderId="61" xfId="0" applyFill="1" applyBorder="1"/>
    <xf numFmtId="0" fontId="29" fillId="0" borderId="0" xfId="0" applyFont="1" applyAlignment="1">
      <alignment vertical="center"/>
    </xf>
    <xf numFmtId="0" fontId="0" fillId="13" borderId="64" xfId="0" applyFill="1" applyBorder="1"/>
    <xf numFmtId="0" fontId="0" fillId="12" borderId="64" xfId="0" applyFill="1" applyBorder="1"/>
    <xf numFmtId="0" fontId="32" fillId="0" borderId="0" xfId="0" applyFont="1" applyFill="1" applyBorder="1" applyAlignment="1" applyProtection="1">
      <alignment vertical="center"/>
    </xf>
    <xf numFmtId="0" fontId="33" fillId="0" borderId="0" xfId="0" applyFont="1"/>
    <xf numFmtId="0" fontId="0" fillId="12" borderId="65" xfId="0" applyFill="1" applyBorder="1"/>
    <xf numFmtId="0" fontId="0" fillId="13" borderId="67" xfId="0" applyFill="1" applyBorder="1"/>
    <xf numFmtId="0" fontId="0" fillId="12" borderId="67" xfId="0" applyFill="1" applyBorder="1"/>
    <xf numFmtId="0" fontId="0" fillId="12" borderId="66" xfId="0" applyFill="1" applyBorder="1"/>
    <xf numFmtId="0" fontId="0" fillId="11" borderId="65" xfId="0" applyFill="1" applyBorder="1"/>
    <xf numFmtId="0" fontId="0" fillId="11" borderId="67" xfId="0" applyFill="1" applyBorder="1" applyAlignment="1">
      <alignment horizontal="center"/>
    </xf>
    <xf numFmtId="14" fontId="0" fillId="11" borderId="67" xfId="0" quotePrefix="1" applyNumberFormat="1" applyFill="1" applyBorder="1" applyAlignment="1">
      <alignment horizontal="center"/>
    </xf>
    <xf numFmtId="0" fontId="0" fillId="11" borderId="66" xfId="0" applyFill="1" applyBorder="1"/>
    <xf numFmtId="0" fontId="0" fillId="0" borderId="0" xfId="0" applyAlignment="1">
      <alignment horizontal="center"/>
    </xf>
    <xf numFmtId="0" fontId="19" fillId="0" borderId="0" xfId="0" applyFont="1" applyFill="1" applyBorder="1" applyAlignment="1">
      <alignment horizontal="left"/>
    </xf>
    <xf numFmtId="0" fontId="0" fillId="15" borderId="58" xfId="0" applyFill="1" applyBorder="1"/>
    <xf numFmtId="0" fontId="0" fillId="15" borderId="0" xfId="0" applyFill="1" applyBorder="1"/>
    <xf numFmtId="0" fontId="0" fillId="15" borderId="64" xfId="0" applyFill="1" applyBorder="1"/>
    <xf numFmtId="0" fontId="33" fillId="0" borderId="0" xfId="0" applyFont="1" applyFill="1" applyBorder="1"/>
    <xf numFmtId="0" fontId="0" fillId="15" borderId="67" xfId="0" applyFill="1" applyBorder="1"/>
    <xf numFmtId="0" fontId="29" fillId="0" borderId="0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0" fillId="15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4" fontId="0" fillId="0" borderId="0" xfId="0" quotePrefix="1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13" borderId="0" xfId="0" applyFill="1" applyBorder="1" applyAlignment="1">
      <alignment horizontal="right"/>
    </xf>
    <xf numFmtId="0" fontId="19" fillId="0" borderId="2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7" fillId="7" borderId="43" xfId="0" applyFont="1" applyFill="1" applyBorder="1" applyAlignment="1">
      <alignment horizontal="left" vertical="center"/>
    </xf>
    <xf numFmtId="0" fontId="29" fillId="13" borderId="0" xfId="0" applyFont="1" applyFill="1" applyBorder="1"/>
    <xf numFmtId="0" fontId="29" fillId="13" borderId="0" xfId="0" applyFont="1" applyFill="1" applyBorder="1" applyAlignment="1">
      <alignment horizontal="right"/>
    </xf>
    <xf numFmtId="0" fontId="0" fillId="16" borderId="64" xfId="0" applyFill="1" applyBorder="1"/>
    <xf numFmtId="0" fontId="32" fillId="0" borderId="0" xfId="0" applyFont="1" applyFill="1" applyBorder="1" applyAlignment="1" applyProtection="1">
      <alignment vertical="center" wrapText="1"/>
    </xf>
    <xf numFmtId="0" fontId="0" fillId="17" borderId="64" xfId="0" applyFill="1" applyBorder="1"/>
    <xf numFmtId="0" fontId="38" fillId="15" borderId="0" xfId="0" applyFont="1" applyFill="1" applyBorder="1"/>
    <xf numFmtId="0" fontId="38" fillId="15" borderId="0" xfId="0" applyFont="1" applyFill="1" applyBorder="1" applyAlignment="1">
      <alignment horizontal="right"/>
    </xf>
    <xf numFmtId="10" fontId="2" fillId="4" borderId="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4" borderId="18" xfId="0" applyFill="1" applyBorder="1" applyAlignment="1" applyProtection="1">
      <alignment horizontal="center" vertical="center"/>
      <protection hidden="1"/>
    </xf>
    <xf numFmtId="0" fontId="0" fillId="7" borderId="43" xfId="0" applyFill="1" applyBorder="1" applyAlignment="1">
      <alignment horizontal="left"/>
    </xf>
    <xf numFmtId="1" fontId="0" fillId="7" borderId="0" xfId="0" applyNumberFormat="1" applyFill="1" applyAlignment="1" applyProtection="1">
      <alignment horizontal="center"/>
      <protection hidden="1"/>
    </xf>
    <xf numFmtId="0" fontId="0" fillId="8" borderId="42" xfId="0" applyFill="1" applyBorder="1"/>
    <xf numFmtId="0" fontId="0" fillId="8" borderId="43" xfId="0" applyFill="1" applyBorder="1"/>
    <xf numFmtId="0" fontId="0" fillId="8" borderId="44" xfId="0" applyFill="1" applyBorder="1"/>
    <xf numFmtId="0" fontId="0" fillId="7" borderId="0" xfId="0" applyFill="1" applyBorder="1" applyAlignment="1">
      <alignment vertical="top"/>
    </xf>
    <xf numFmtId="43" fontId="0" fillId="7" borderId="0" xfId="2" applyFont="1" applyFill="1" applyProtection="1">
      <protection hidden="1"/>
    </xf>
    <xf numFmtId="176" fontId="0" fillId="7" borderId="0" xfId="0" applyNumberFormat="1" applyFill="1" applyProtection="1">
      <protection hidden="1"/>
    </xf>
    <xf numFmtId="167" fontId="0" fillId="7" borderId="0" xfId="0" applyNumberFormat="1" applyFont="1" applyFill="1" applyProtection="1">
      <protection hidden="1"/>
    </xf>
    <xf numFmtId="177" fontId="0" fillId="7" borderId="0" xfId="0" applyNumberFormat="1" applyFont="1" applyFill="1" applyProtection="1">
      <protection hidden="1"/>
    </xf>
    <xf numFmtId="0" fontId="2" fillId="0" borderId="18" xfId="0" applyFont="1" applyBorder="1" applyAlignment="1" applyProtection="1">
      <alignment horizontal="center" wrapText="1"/>
    </xf>
    <xf numFmtId="0" fontId="2" fillId="0" borderId="18" xfId="0" applyFont="1" applyFill="1" applyBorder="1" applyAlignment="1" applyProtection="1">
      <alignment horizontal="center" wrapText="1"/>
    </xf>
    <xf numFmtId="0" fontId="0" fillId="0" borderId="41" xfId="0" applyBorder="1" applyAlignment="1" applyProtection="1">
      <alignment wrapText="1"/>
    </xf>
    <xf numFmtId="49" fontId="0" fillId="0" borderId="41" xfId="0" applyNumberFormat="1" applyBorder="1" applyAlignment="1" applyProtection="1">
      <alignment wrapText="1"/>
    </xf>
    <xf numFmtId="2" fontId="0" fillId="0" borderId="41" xfId="0" applyNumberFormat="1" applyFont="1" applyFill="1" applyBorder="1" applyAlignment="1" applyProtection="1">
      <alignment horizontal="center" wrapText="1"/>
    </xf>
    <xf numFmtId="0" fontId="0" fillId="0" borderId="37" xfId="0" applyBorder="1" applyAlignment="1" applyProtection="1">
      <alignment wrapText="1"/>
    </xf>
    <xf numFmtId="49" fontId="0" fillId="0" borderId="37" xfId="0" applyNumberFormat="1" applyBorder="1" applyAlignment="1" applyProtection="1">
      <alignment wrapText="1"/>
    </xf>
    <xf numFmtId="2" fontId="0" fillId="0" borderId="37" xfId="0" applyNumberFormat="1" applyFont="1" applyFill="1" applyBorder="1" applyAlignment="1" applyProtection="1">
      <alignment horizontal="center" wrapText="1"/>
    </xf>
    <xf numFmtId="0" fontId="0" fillId="7" borderId="37" xfId="0" applyFill="1" applyBorder="1" applyAlignment="1" applyProtection="1">
      <alignment wrapText="1"/>
    </xf>
    <xf numFmtId="167" fontId="0" fillId="0" borderId="37" xfId="0" applyNumberFormat="1" applyBorder="1" applyAlignment="1" applyProtection="1">
      <alignment wrapText="1"/>
    </xf>
    <xf numFmtId="0" fontId="0" fillId="7" borderId="38" xfId="0" applyFill="1" applyBorder="1" applyAlignment="1" applyProtection="1">
      <alignment wrapText="1"/>
    </xf>
    <xf numFmtId="0" fontId="0" fillId="0" borderId="38" xfId="0" applyBorder="1" applyAlignment="1" applyProtection="1">
      <alignment wrapText="1"/>
    </xf>
    <xf numFmtId="0" fontId="0" fillId="10" borderId="38" xfId="0" applyFill="1" applyBorder="1" applyAlignment="1" applyProtection="1">
      <alignment wrapText="1"/>
    </xf>
    <xf numFmtId="0" fontId="0" fillId="10" borderId="38" xfId="0" applyFill="1" applyBorder="1" applyAlignment="1" applyProtection="1">
      <alignment horizontal="center" wrapText="1"/>
    </xf>
    <xf numFmtId="0" fontId="2" fillId="0" borderId="0" xfId="0" applyFont="1" applyFill="1" applyBorder="1"/>
    <xf numFmtId="0" fontId="0" fillId="0" borderId="4" xfId="0" applyFill="1" applyBorder="1"/>
    <xf numFmtId="0" fontId="0" fillId="0" borderId="6" xfId="0" applyBorder="1"/>
    <xf numFmtId="0" fontId="0" fillId="4" borderId="4" xfId="0" applyFill="1" applyBorder="1" applyAlignment="1" applyProtection="1">
      <alignment horizontal="left" vertical="center" wrapText="1"/>
      <protection hidden="1"/>
    </xf>
    <xf numFmtId="0" fontId="0" fillId="4" borderId="5" xfId="0" applyFill="1" applyBorder="1" applyAlignment="1" applyProtection="1">
      <alignment horizontal="left" vertical="center" wrapText="1"/>
      <protection hidden="1"/>
    </xf>
    <xf numFmtId="0" fontId="0" fillId="4" borderId="6" xfId="0" applyFill="1" applyBorder="1" applyAlignment="1" applyProtection="1">
      <alignment horizontal="left" vertical="center" wrapText="1"/>
      <protection hidden="1"/>
    </xf>
    <xf numFmtId="0" fontId="2" fillId="4" borderId="4" xfId="0" applyFont="1" applyFill="1" applyBorder="1" applyAlignment="1" applyProtection="1">
      <alignment horizontal="left" vertical="center" wrapText="1"/>
      <protection hidden="1"/>
    </xf>
    <xf numFmtId="0" fontId="2" fillId="4" borderId="5" xfId="0" applyFont="1" applyFill="1" applyBorder="1" applyAlignment="1" applyProtection="1">
      <alignment horizontal="left" vertical="center" wrapText="1"/>
      <protection hidden="1"/>
    </xf>
    <xf numFmtId="0" fontId="2" fillId="4" borderId="6" xfId="0" applyFont="1" applyFill="1" applyBorder="1" applyAlignment="1" applyProtection="1">
      <alignment horizontal="left" vertical="center" wrapText="1"/>
      <protection hidden="1"/>
    </xf>
    <xf numFmtId="0" fontId="5" fillId="9" borderId="4" xfId="0" applyFont="1" applyFill="1" applyBorder="1" applyAlignment="1" applyProtection="1">
      <alignment horizontal="left" vertical="center" wrapText="1"/>
      <protection hidden="1"/>
    </xf>
    <xf numFmtId="0" fontId="5" fillId="9" borderId="5" xfId="0" applyFont="1" applyFill="1" applyBorder="1" applyAlignment="1" applyProtection="1">
      <alignment horizontal="left" vertical="center" wrapText="1"/>
      <protection hidden="1"/>
    </xf>
    <xf numFmtId="0" fontId="5" fillId="9" borderId="6" xfId="0" applyFont="1" applyFill="1" applyBorder="1" applyAlignment="1" applyProtection="1">
      <alignment horizontal="left" vertical="center" wrapText="1"/>
      <protection hidden="1"/>
    </xf>
    <xf numFmtId="0" fontId="0" fillId="4" borderId="4" xfId="0" applyFill="1" applyBorder="1" applyAlignment="1" applyProtection="1">
      <alignment horizontal="left" vertical="center"/>
      <protection hidden="1"/>
    </xf>
    <xf numFmtId="0" fontId="0" fillId="4" borderId="5" xfId="0" applyFill="1" applyBorder="1" applyAlignment="1" applyProtection="1">
      <alignment horizontal="left" vertical="center"/>
      <protection hidden="1"/>
    </xf>
    <xf numFmtId="0" fontId="0" fillId="4" borderId="6" xfId="0" applyFill="1" applyBorder="1" applyAlignment="1" applyProtection="1">
      <alignment horizontal="left" vertical="center"/>
      <protection hidden="1"/>
    </xf>
    <xf numFmtId="0" fontId="9" fillId="4" borderId="4" xfId="0" applyFont="1" applyFill="1" applyBorder="1" applyAlignment="1" applyProtection="1">
      <alignment horizontal="left" vertical="center"/>
      <protection hidden="1"/>
    </xf>
    <xf numFmtId="0" fontId="9" fillId="4" borderId="5" xfId="0" applyFont="1" applyFill="1" applyBorder="1" applyAlignment="1" applyProtection="1">
      <alignment horizontal="left" vertical="center"/>
      <protection hidden="1"/>
    </xf>
    <xf numFmtId="0" fontId="9" fillId="4" borderId="6" xfId="0" applyFont="1" applyFill="1" applyBorder="1" applyAlignment="1" applyProtection="1">
      <alignment horizontal="left" vertical="center"/>
      <protection hidden="1"/>
    </xf>
    <xf numFmtId="2" fontId="4" fillId="4" borderId="4" xfId="0" applyNumberFormat="1" applyFont="1" applyFill="1" applyBorder="1" applyAlignment="1" applyProtection="1">
      <alignment horizontal="center" vertical="center"/>
      <protection hidden="1"/>
    </xf>
    <xf numFmtId="2" fontId="4" fillId="4" borderId="6" xfId="0" applyNumberFormat="1" applyFont="1" applyFill="1" applyBorder="1" applyAlignment="1" applyProtection="1">
      <alignment horizontal="center" vertical="center"/>
      <protection hidden="1"/>
    </xf>
    <xf numFmtId="0" fontId="5" fillId="5" borderId="4" xfId="0" applyFont="1" applyFill="1" applyBorder="1" applyAlignment="1" applyProtection="1">
      <alignment horizontal="left" vertical="center"/>
      <protection hidden="1"/>
    </xf>
    <xf numFmtId="0" fontId="5" fillId="5" borderId="5" xfId="0" applyFont="1" applyFill="1" applyBorder="1" applyAlignment="1" applyProtection="1">
      <alignment horizontal="left" vertical="center"/>
      <protection hidden="1"/>
    </xf>
    <xf numFmtId="0" fontId="5" fillId="5" borderId="6" xfId="0" applyFont="1" applyFill="1" applyBorder="1" applyAlignment="1" applyProtection="1">
      <alignment horizontal="left" vertical="center"/>
      <protection hidden="1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 applyProtection="1">
      <alignment horizontal="center" vertical="center" wrapText="1"/>
      <protection locked="0"/>
    </xf>
    <xf numFmtId="0" fontId="12" fillId="7" borderId="10" xfId="0" applyFont="1" applyFill="1" applyBorder="1" applyAlignment="1" applyProtection="1">
      <alignment horizontal="center" vertical="center" wrapText="1"/>
      <protection locked="0"/>
    </xf>
    <xf numFmtId="0" fontId="12" fillId="7" borderId="0" xfId="0" applyFont="1" applyFill="1" applyBorder="1" applyAlignment="1" applyProtection="1">
      <alignment horizontal="center" vertical="center" wrapText="1"/>
      <protection locked="0"/>
    </xf>
    <xf numFmtId="0" fontId="12" fillId="7" borderId="7" xfId="0" applyFont="1" applyFill="1" applyBorder="1" applyAlignment="1" applyProtection="1">
      <alignment horizontal="center" vertical="center" wrapText="1"/>
      <protection locked="0"/>
    </xf>
    <xf numFmtId="0" fontId="12" fillId="7" borderId="8" xfId="0" applyFont="1" applyFill="1" applyBorder="1" applyAlignment="1" applyProtection="1">
      <alignment horizontal="center" vertical="center" wrapText="1"/>
      <protection locked="0"/>
    </xf>
    <xf numFmtId="0" fontId="12" fillId="7" borderId="19" xfId="0" applyFont="1" applyFill="1" applyBorder="1" applyAlignment="1" applyProtection="1">
      <alignment horizontal="center" vertical="center" wrapText="1"/>
      <protection locked="0"/>
    </xf>
    <xf numFmtId="0" fontId="12" fillId="7" borderId="16" xfId="0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left" vertical="center"/>
      <protection hidden="1"/>
    </xf>
    <xf numFmtId="0" fontId="2" fillId="4" borderId="5" xfId="0" applyFont="1" applyFill="1" applyBorder="1" applyAlignment="1" applyProtection="1">
      <alignment horizontal="left" vertical="center"/>
      <protection hidden="1"/>
    </xf>
    <xf numFmtId="0" fontId="2" fillId="4" borderId="6" xfId="0" applyFont="1" applyFill="1" applyBorder="1" applyAlignment="1" applyProtection="1">
      <alignment horizontal="left" vertical="center"/>
      <protection hidden="1"/>
    </xf>
    <xf numFmtId="2" fontId="4" fillId="4" borderId="4" xfId="0" quotePrefix="1" applyNumberFormat="1" applyFont="1" applyFill="1" applyBorder="1" applyAlignment="1" applyProtection="1">
      <alignment horizontal="center" vertical="center"/>
      <protection hidden="1"/>
    </xf>
    <xf numFmtId="2" fontId="4" fillId="4" borderId="6" xfId="0" quotePrefix="1" applyNumberFormat="1" applyFont="1" applyFill="1" applyBorder="1" applyAlignment="1" applyProtection="1">
      <alignment horizontal="center" vertical="center"/>
      <protection hidden="1"/>
    </xf>
    <xf numFmtId="14" fontId="12" fillId="7" borderId="19" xfId="0" applyNumberFormat="1" applyFont="1" applyFill="1" applyBorder="1" applyAlignment="1" applyProtection="1">
      <alignment horizontal="center" vertical="center"/>
      <protection locked="0"/>
    </xf>
    <xf numFmtId="14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9" fillId="8" borderId="4" xfId="0" applyFont="1" applyFill="1" applyBorder="1" applyAlignment="1" applyProtection="1">
      <alignment horizontal="center" vertical="center"/>
      <protection hidden="1"/>
    </xf>
    <xf numFmtId="0" fontId="9" fillId="8" borderId="5" xfId="0" applyFont="1" applyFill="1" applyBorder="1" applyAlignment="1" applyProtection="1">
      <alignment horizontal="center" vertical="center"/>
      <protection hidden="1"/>
    </xf>
    <xf numFmtId="0" fontId="9" fillId="8" borderId="6" xfId="0" applyFont="1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 applyProtection="1">
      <alignment horizontal="center"/>
      <protection hidden="1"/>
    </xf>
    <xf numFmtId="0" fontId="2" fillId="4" borderId="5" xfId="0" applyFont="1" applyFill="1" applyBorder="1" applyAlignment="1" applyProtection="1">
      <alignment horizontal="center"/>
      <protection hidden="1"/>
    </xf>
    <xf numFmtId="0" fontId="2" fillId="4" borderId="6" xfId="0" applyFont="1" applyFill="1" applyBorder="1" applyAlignment="1" applyProtection="1">
      <alignment horizontal="center"/>
      <protection hidden="1"/>
    </xf>
    <xf numFmtId="0" fontId="20" fillId="3" borderId="4" xfId="0" applyFont="1" applyFill="1" applyBorder="1" applyAlignment="1" applyProtection="1">
      <alignment horizontal="center" vertical="center" wrapText="1"/>
      <protection hidden="1"/>
    </xf>
    <xf numFmtId="0" fontId="20" fillId="3" borderId="5" xfId="0" applyFont="1" applyFill="1" applyBorder="1" applyAlignment="1" applyProtection="1">
      <alignment horizontal="center" vertical="center" wrapText="1"/>
      <protection hidden="1"/>
    </xf>
    <xf numFmtId="0" fontId="2" fillId="4" borderId="10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11" xfId="0" applyFont="1" applyFill="1" applyBorder="1" applyAlignment="1" applyProtection="1">
      <alignment horizontal="center"/>
      <protection hidden="1"/>
    </xf>
    <xf numFmtId="0" fontId="2" fillId="4" borderId="7" xfId="0" applyFont="1" applyFill="1" applyBorder="1" applyAlignment="1" applyProtection="1">
      <alignment horizontal="center"/>
      <protection hidden="1"/>
    </xf>
    <xf numFmtId="0" fontId="2" fillId="4" borderId="8" xfId="0" applyFont="1" applyFill="1" applyBorder="1" applyAlignment="1" applyProtection="1">
      <alignment horizontal="center"/>
      <protection hidden="1"/>
    </xf>
    <xf numFmtId="0" fontId="2" fillId="4" borderId="9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 vertical="center" wrapText="1"/>
      <protection hidden="1"/>
    </xf>
    <xf numFmtId="0" fontId="7" fillId="4" borderId="5" xfId="0" applyFont="1" applyFill="1" applyBorder="1" applyAlignment="1" applyProtection="1">
      <alignment horizontal="left" vertical="center" wrapText="1"/>
      <protection hidden="1"/>
    </xf>
    <xf numFmtId="0" fontId="7" fillId="4" borderId="6" xfId="0" applyFont="1" applyFill="1" applyBorder="1" applyAlignment="1" applyProtection="1">
      <alignment horizontal="left" vertical="center" wrapText="1"/>
      <protection hidden="1"/>
    </xf>
    <xf numFmtId="0" fontId="0" fillId="4" borderId="4" xfId="0" applyFont="1" applyFill="1" applyBorder="1" applyAlignment="1" applyProtection="1">
      <alignment horizontal="left" vertical="center" wrapText="1"/>
      <protection hidden="1"/>
    </xf>
    <xf numFmtId="0" fontId="0" fillId="4" borderId="5" xfId="0" applyFont="1" applyFill="1" applyBorder="1" applyAlignment="1" applyProtection="1">
      <alignment horizontal="left" vertical="center" wrapText="1"/>
      <protection hidden="1"/>
    </xf>
    <xf numFmtId="0" fontId="0" fillId="4" borderId="6" xfId="0" applyFont="1" applyFill="1" applyBorder="1" applyAlignment="1" applyProtection="1">
      <alignment horizontal="left" vertical="center" wrapText="1"/>
      <protection hidden="1"/>
    </xf>
    <xf numFmtId="0" fontId="0" fillId="4" borderId="4" xfId="0" applyFont="1" applyFill="1" applyBorder="1" applyAlignment="1" applyProtection="1">
      <alignment horizontal="left" vertical="center"/>
      <protection hidden="1"/>
    </xf>
    <xf numFmtId="0" fontId="0" fillId="4" borderId="5" xfId="0" applyFont="1" applyFill="1" applyBorder="1" applyAlignment="1" applyProtection="1">
      <alignment horizontal="left" vertical="center"/>
      <protection hidden="1"/>
    </xf>
    <xf numFmtId="0" fontId="0" fillId="4" borderId="6" xfId="0" applyFont="1" applyFill="1" applyBorder="1" applyAlignment="1" applyProtection="1">
      <alignment horizontal="left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14" fillId="2" borderId="4" xfId="0" applyFont="1" applyFill="1" applyBorder="1" applyAlignment="1" applyProtection="1">
      <alignment horizontal="center" vertical="center"/>
      <protection hidden="1"/>
    </xf>
    <xf numFmtId="0" fontId="14" fillId="2" borderId="5" xfId="0" applyFont="1" applyFill="1" applyBorder="1" applyAlignment="1" applyProtection="1">
      <alignment horizontal="center" vertical="center"/>
      <protection hidden="1"/>
    </xf>
    <xf numFmtId="0" fontId="14" fillId="2" borderId="6" xfId="0" applyFont="1" applyFill="1" applyBorder="1" applyAlignment="1" applyProtection="1">
      <alignment horizontal="center" vertical="center"/>
      <protection hidden="1"/>
    </xf>
    <xf numFmtId="0" fontId="9" fillId="5" borderId="4" xfId="0" applyFont="1" applyFill="1" applyBorder="1" applyAlignment="1" applyProtection="1">
      <alignment horizontal="left" vertical="center"/>
      <protection hidden="1"/>
    </xf>
    <xf numFmtId="0" fontId="9" fillId="5" borderId="5" xfId="0" applyFont="1" applyFill="1" applyBorder="1" applyAlignment="1" applyProtection="1">
      <alignment horizontal="left" vertical="center"/>
      <protection hidden="1"/>
    </xf>
    <xf numFmtId="0" fontId="9" fillId="5" borderId="6" xfId="0" applyFont="1" applyFill="1" applyBorder="1" applyAlignment="1" applyProtection="1">
      <alignment horizontal="left" vertical="center"/>
      <protection hidden="1"/>
    </xf>
    <xf numFmtId="0" fontId="5" fillId="5" borderId="4" xfId="0" applyFont="1" applyFill="1" applyBorder="1" applyAlignment="1" applyProtection="1">
      <alignment horizontal="left" vertical="center" wrapText="1"/>
      <protection hidden="1"/>
    </xf>
    <xf numFmtId="0" fontId="5" fillId="5" borderId="5" xfId="0" applyFont="1" applyFill="1" applyBorder="1" applyAlignment="1" applyProtection="1">
      <alignment horizontal="left" vertical="center" wrapText="1"/>
      <protection hidden="1"/>
    </xf>
    <xf numFmtId="0" fontId="5" fillId="5" borderId="6" xfId="0" applyFont="1" applyFill="1" applyBorder="1" applyAlignment="1" applyProtection="1">
      <alignment horizontal="left" vertical="center" wrapText="1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12" fillId="7" borderId="2" xfId="0" applyFont="1" applyFill="1" applyBorder="1" applyAlignment="1" applyProtection="1">
      <alignment horizontal="center" vertical="center"/>
      <protection locked="0"/>
    </xf>
    <xf numFmtId="0" fontId="12" fillId="7" borderId="3" xfId="0" applyFont="1" applyFill="1" applyBorder="1" applyAlignment="1" applyProtection="1">
      <alignment horizontal="center" vertical="center"/>
      <protection locked="0"/>
    </xf>
    <xf numFmtId="0" fontId="12" fillId="7" borderId="7" xfId="0" applyFont="1" applyFill="1" applyBorder="1" applyAlignment="1" applyProtection="1">
      <alignment horizontal="center" vertical="center"/>
      <protection locked="0"/>
    </xf>
    <xf numFmtId="0" fontId="12" fillId="7" borderId="8" xfId="0" applyFont="1" applyFill="1" applyBorder="1" applyAlignment="1" applyProtection="1">
      <alignment horizontal="center" vertical="center"/>
      <protection locked="0"/>
    </xf>
    <xf numFmtId="0" fontId="12" fillId="7" borderId="9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left" vertical="center"/>
      <protection hidden="1"/>
    </xf>
    <xf numFmtId="0" fontId="4" fillId="4" borderId="5" xfId="0" applyFont="1" applyFill="1" applyBorder="1" applyAlignment="1" applyProtection="1">
      <alignment horizontal="left" vertical="center"/>
      <protection hidden="1"/>
    </xf>
    <xf numFmtId="0" fontId="4" fillId="4" borderId="6" xfId="0" applyFont="1" applyFill="1" applyBorder="1" applyAlignment="1" applyProtection="1">
      <alignment horizontal="left" vertical="center"/>
      <protection hidden="1"/>
    </xf>
    <xf numFmtId="0" fontId="2" fillId="5" borderId="4" xfId="0" applyFont="1" applyFill="1" applyBorder="1" applyAlignment="1" applyProtection="1">
      <alignment horizontal="left" vertical="center"/>
      <protection hidden="1"/>
    </xf>
    <xf numFmtId="0" fontId="2" fillId="5" borderId="5" xfId="0" applyFont="1" applyFill="1" applyBorder="1" applyAlignment="1" applyProtection="1">
      <alignment horizontal="left" vertical="center"/>
      <protection hidden="1"/>
    </xf>
    <xf numFmtId="0" fontId="2" fillId="5" borderId="6" xfId="0" applyFont="1" applyFill="1" applyBorder="1" applyAlignment="1" applyProtection="1">
      <alignment horizontal="left" vertical="center"/>
      <protection hidden="1"/>
    </xf>
    <xf numFmtId="0" fontId="0" fillId="4" borderId="4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hidden="1"/>
    </xf>
    <xf numFmtId="0" fontId="0" fillId="4" borderId="2" xfId="0" applyFill="1" applyBorder="1" applyAlignment="1" applyProtection="1">
      <alignment horizontal="left" vertical="center" wrapText="1"/>
      <protection hidden="1"/>
    </xf>
    <xf numFmtId="0" fontId="0" fillId="4" borderId="3" xfId="0" applyFill="1" applyBorder="1" applyAlignment="1" applyProtection="1">
      <alignment horizontal="left" vertical="center" wrapText="1"/>
      <protection hidden="1"/>
    </xf>
    <xf numFmtId="0" fontId="0" fillId="4" borderId="7" xfId="0" applyFill="1" applyBorder="1" applyAlignment="1" applyProtection="1">
      <alignment horizontal="left" vertical="center" wrapText="1"/>
      <protection hidden="1"/>
    </xf>
    <xf numFmtId="0" fontId="0" fillId="4" borderId="8" xfId="0" applyFill="1" applyBorder="1" applyAlignment="1" applyProtection="1">
      <alignment horizontal="left" vertical="center" wrapText="1"/>
      <protection hidden="1"/>
    </xf>
    <xf numFmtId="0" fontId="0" fillId="4" borderId="9" xfId="0" applyFill="1" applyBorder="1" applyAlignment="1" applyProtection="1">
      <alignment horizontal="left" vertical="center" wrapText="1"/>
      <protection hidden="1"/>
    </xf>
    <xf numFmtId="0" fontId="0" fillId="4" borderId="7" xfId="0" applyFont="1" applyFill="1" applyBorder="1" applyAlignment="1" applyProtection="1">
      <alignment horizontal="left" vertical="center"/>
      <protection hidden="1"/>
    </xf>
    <xf numFmtId="0" fontId="0" fillId="4" borderId="8" xfId="0" applyFont="1" applyFill="1" applyBorder="1" applyAlignment="1" applyProtection="1">
      <alignment horizontal="left" vertical="center"/>
      <protection hidden="1"/>
    </xf>
    <xf numFmtId="0" fontId="0" fillId="4" borderId="9" xfId="0" applyFont="1" applyFill="1" applyBorder="1" applyAlignment="1" applyProtection="1">
      <alignment horizontal="left" vertical="center"/>
      <protection hidden="1"/>
    </xf>
    <xf numFmtId="0" fontId="5" fillId="6" borderId="10" xfId="0" applyFont="1" applyFill="1" applyBorder="1" applyAlignment="1" applyProtection="1">
      <alignment horizontal="left" vertical="center"/>
      <protection hidden="1"/>
    </xf>
    <xf numFmtId="0" fontId="5" fillId="6" borderId="0" xfId="0" applyFont="1" applyFill="1" applyBorder="1" applyAlignment="1" applyProtection="1">
      <alignment horizontal="left" vertical="center"/>
      <protection hidden="1"/>
    </xf>
    <xf numFmtId="0" fontId="5" fillId="6" borderId="11" xfId="0" applyFont="1" applyFill="1" applyBorder="1" applyAlignment="1" applyProtection="1">
      <alignment horizontal="left" vertical="center"/>
      <protection hidden="1"/>
    </xf>
    <xf numFmtId="0" fontId="0" fillId="4" borderId="4" xfId="0" applyFill="1" applyBorder="1" applyAlignment="1" applyProtection="1">
      <alignment vertical="center"/>
      <protection hidden="1"/>
    </xf>
    <xf numFmtId="0" fontId="0" fillId="4" borderId="5" xfId="0" applyFill="1" applyBorder="1" applyAlignment="1" applyProtection="1">
      <alignment vertical="center"/>
      <protection hidden="1"/>
    </xf>
    <xf numFmtId="0" fontId="0" fillId="4" borderId="6" xfId="0" applyFill="1" applyBorder="1" applyAlignment="1" applyProtection="1">
      <alignment vertical="center"/>
      <protection hidden="1"/>
    </xf>
    <xf numFmtId="0" fontId="5" fillId="6" borderId="4" xfId="0" applyFont="1" applyFill="1" applyBorder="1" applyAlignment="1" applyProtection="1">
      <alignment horizontal="left" vertical="center"/>
      <protection hidden="1"/>
    </xf>
    <xf numFmtId="0" fontId="5" fillId="6" borderId="5" xfId="0" applyFont="1" applyFill="1" applyBorder="1" applyAlignment="1" applyProtection="1">
      <alignment horizontal="left" vertical="center"/>
      <protection hidden="1"/>
    </xf>
    <xf numFmtId="0" fontId="5" fillId="6" borderId="6" xfId="0" applyFont="1" applyFill="1" applyBorder="1" applyAlignment="1" applyProtection="1">
      <alignment horizontal="left" vertical="center"/>
      <protection hidden="1"/>
    </xf>
    <xf numFmtId="0" fontId="0" fillId="4" borderId="4" xfId="0" applyFont="1" applyFill="1" applyBorder="1" applyAlignment="1" applyProtection="1">
      <alignment vertical="center"/>
      <protection hidden="1"/>
    </xf>
    <xf numFmtId="0" fontId="0" fillId="4" borderId="5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9" fillId="2" borderId="8" xfId="0" applyFont="1" applyFill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/>
      <protection hidden="1"/>
    </xf>
    <xf numFmtId="0" fontId="21" fillId="3" borderId="4" xfId="0" applyFont="1" applyFill="1" applyBorder="1" applyAlignment="1" applyProtection="1">
      <alignment horizontal="center" vertical="center" wrapText="1"/>
      <protection hidden="1"/>
    </xf>
    <xf numFmtId="0" fontId="21" fillId="3" borderId="5" xfId="0" applyFont="1" applyFill="1" applyBorder="1" applyAlignment="1" applyProtection="1">
      <alignment horizontal="center" vertical="center" wrapText="1"/>
      <protection hidden="1"/>
    </xf>
    <xf numFmtId="0" fontId="21" fillId="3" borderId="6" xfId="0" applyFont="1" applyFill="1" applyBorder="1" applyAlignment="1" applyProtection="1">
      <alignment horizontal="center" vertical="center" wrapText="1"/>
      <protection hidden="1"/>
    </xf>
    <xf numFmtId="0" fontId="0" fillId="4" borderId="10" xfId="0" applyFill="1" applyBorder="1" applyAlignment="1" applyProtection="1">
      <alignment horizontal="left" vertical="center" wrapText="1"/>
      <protection hidden="1"/>
    </xf>
    <xf numFmtId="0" fontId="0" fillId="4" borderId="0" xfId="0" applyFill="1" applyBorder="1" applyAlignment="1" applyProtection="1">
      <alignment horizontal="left" vertical="center" wrapText="1"/>
      <protection hidden="1"/>
    </xf>
    <xf numFmtId="0" fontId="0" fillId="4" borderId="11" xfId="0" applyFill="1" applyBorder="1" applyAlignment="1" applyProtection="1">
      <alignment horizontal="left" vertical="center" wrapText="1"/>
      <protection hidden="1"/>
    </xf>
    <xf numFmtId="0" fontId="0" fillId="5" borderId="5" xfId="0" applyFill="1" applyBorder="1" applyAlignment="1" applyProtection="1">
      <alignment horizontal="left" vertical="center"/>
      <protection hidden="1"/>
    </xf>
    <xf numFmtId="0" fontId="0" fillId="5" borderId="6" xfId="0" applyFill="1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12" fillId="0" borderId="6" xfId="0" applyFont="1" applyBorder="1" applyAlignment="1" applyProtection="1">
      <alignment horizontal="left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left" wrapText="1"/>
      <protection hidden="1"/>
    </xf>
    <xf numFmtId="0" fontId="7" fillId="4" borderId="5" xfId="0" applyFont="1" applyFill="1" applyBorder="1" applyAlignment="1" applyProtection="1">
      <alignment horizontal="left" wrapText="1"/>
      <protection hidden="1"/>
    </xf>
    <xf numFmtId="0" fontId="7" fillId="4" borderId="6" xfId="0" applyFont="1" applyFill="1" applyBorder="1" applyAlignment="1" applyProtection="1">
      <alignment horizontal="left" wrapText="1"/>
      <protection hidden="1"/>
    </xf>
    <xf numFmtId="0" fontId="0" fillId="7" borderId="1" xfId="0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5" fillId="4" borderId="4" xfId="0" applyFont="1" applyFill="1" applyBorder="1" applyAlignment="1" applyProtection="1">
      <alignment horizontal="left" vertical="center"/>
      <protection hidden="1"/>
    </xf>
    <xf numFmtId="0" fontId="5" fillId="4" borderId="5" xfId="0" applyFont="1" applyFill="1" applyBorder="1" applyAlignment="1" applyProtection="1">
      <alignment horizontal="left" vertical="center"/>
      <protection hidden="1"/>
    </xf>
    <xf numFmtId="0" fontId="12" fillId="4" borderId="6" xfId="0" applyFont="1" applyFill="1" applyBorder="1" applyAlignment="1" applyProtection="1">
      <alignment horizontal="left" vertical="center"/>
      <protection hidden="1"/>
    </xf>
    <xf numFmtId="0" fontId="0" fillId="4" borderId="2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24" xfId="0" quotePrefix="1" applyFill="1" applyBorder="1" applyAlignment="1">
      <alignment horizontal="center" vertical="center" wrapText="1"/>
    </xf>
    <xf numFmtId="0" fontId="0" fillId="4" borderId="22" xfId="0" quotePrefix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0" fillId="4" borderId="29" xfId="0" quotePrefix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12" borderId="62" xfId="0" applyFill="1" applyBorder="1" applyAlignment="1">
      <alignment horizontal="center"/>
    </xf>
    <xf numFmtId="0" fontId="0" fillId="12" borderId="63" xfId="0" applyFill="1" applyBorder="1" applyAlignment="1">
      <alignment horizontal="center"/>
    </xf>
    <xf numFmtId="0" fontId="25" fillId="0" borderId="0" xfId="0" applyFont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7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31" fillId="11" borderId="57" xfId="0" applyFont="1" applyFill="1" applyBorder="1" applyAlignment="1">
      <alignment horizontal="center" vertical="center"/>
    </xf>
    <xf numFmtId="0" fontId="31" fillId="11" borderId="58" xfId="0" applyFont="1" applyFill="1" applyBorder="1" applyAlignment="1">
      <alignment horizontal="center" vertical="center"/>
    </xf>
    <xf numFmtId="0" fontId="31" fillId="11" borderId="5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0" fillId="13" borderId="62" xfId="0" applyFill="1" applyBorder="1" applyAlignment="1">
      <alignment horizontal="center"/>
    </xf>
    <xf numFmtId="0" fontId="0" fillId="13" borderId="63" xfId="0" applyFill="1" applyBorder="1" applyAlignment="1">
      <alignment horizontal="center"/>
    </xf>
    <xf numFmtId="0" fontId="0" fillId="15" borderId="62" xfId="0" applyFill="1" applyBorder="1" applyAlignment="1">
      <alignment horizontal="center"/>
    </xf>
    <xf numFmtId="0" fontId="0" fillId="15" borderId="63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9" fillId="13" borderId="0" xfId="0" applyFont="1" applyFill="1" applyBorder="1" applyAlignment="1">
      <alignment horizontal="right"/>
    </xf>
    <xf numFmtId="0" fontId="0" fillId="11" borderId="68" xfId="0" applyFill="1" applyBorder="1" applyAlignment="1">
      <alignment horizontal="center"/>
    </xf>
    <xf numFmtId="14" fontId="0" fillId="11" borderId="68" xfId="0" quotePrefix="1" applyNumberForma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0" fontId="0" fillId="14" borderId="1" xfId="0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 wrapText="1"/>
    </xf>
    <xf numFmtId="0" fontId="0" fillId="16" borderId="65" xfId="0" applyFill="1" applyBorder="1" applyAlignment="1">
      <alignment horizontal="center"/>
    </xf>
    <xf numFmtId="0" fontId="0" fillId="16" borderId="6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quotePrefix="1" applyNumberFormat="1" applyFill="1" applyBorder="1" applyAlignment="1">
      <alignment horizontal="center"/>
    </xf>
    <xf numFmtId="0" fontId="34" fillId="0" borderId="42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46" xfId="0" applyFont="1" applyFill="1" applyBorder="1" applyAlignment="1">
      <alignment horizontal="center" vertical="center" wrapText="1"/>
    </xf>
    <xf numFmtId="0" fontId="34" fillId="0" borderId="47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0" fillId="15" borderId="0" xfId="0" applyFill="1" applyBorder="1" applyAlignment="1">
      <alignment horizontal="right"/>
    </xf>
    <xf numFmtId="0" fontId="38" fillId="15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left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 wrapText="1"/>
    </xf>
    <xf numFmtId="0" fontId="19" fillId="10" borderId="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7" borderId="0" xfId="0" applyFill="1" applyBorder="1" applyAlignment="1">
      <alignment horizontal="left" wrapText="1"/>
    </xf>
  </cellXfs>
  <cellStyles count="3">
    <cellStyle name="Milliers" xfId="2" builtinId="3"/>
    <cellStyle name="Normal" xfId="0" builtinId="0"/>
    <cellStyle name="Pourcentage" xfId="1" builtinId="5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9700"/>
      <color rgb="FFAC7F00"/>
      <color rgb="FFCC990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3.wdp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160020</xdr:colOff>
      <xdr:row>1</xdr:row>
      <xdr:rowOff>0</xdr:rowOff>
    </xdr:from>
    <xdr:to>
      <xdr:col>7</xdr:col>
      <xdr:colOff>7620</xdr:colOff>
      <xdr:row>1</xdr:row>
      <xdr:rowOff>1478280</xdr:rowOff>
    </xdr:to>
    <xdr:pic>
      <xdr:nvPicPr>
        <xdr:cNvPr id="2" name="Image 1"/>
        <xdr:cNvPicPr>
          <a:picLocks/>
        </xdr:cNvPicPr>
      </xdr:nvPicPr>
      <xdr:blipFill rotWithShape="1">
        <a:blip xmlns:r="http://schemas.openxmlformats.org/officeDocument/2006/relationships" r:embed="rId1" cstate="print">
          <a:duotone>
            <a:prstClr val="black"/>
            <a:schemeClr val="accent5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4700"/>
                  </a14:imgEffect>
                  <a14:imgEffect>
                    <a14:saturation sat="200000"/>
                  </a14:imgEffect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-18398" t="18891" r="18398" b="10683"/>
        <a:stretch/>
      </xdr:blipFill>
      <xdr:spPr>
        <a:xfrm>
          <a:off x="4575712" y="117231"/>
          <a:ext cx="4663831" cy="14782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701040</xdr:colOff>
          <xdr:row>1</xdr:row>
          <xdr:rowOff>464820</xdr:rowOff>
        </xdr:from>
        <xdr:to>
          <xdr:col>8</xdr:col>
          <xdr:colOff>861060</xdr:colOff>
          <xdr:row>1</xdr:row>
          <xdr:rowOff>1104900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CA" sz="1100" b="0" i="0" u="none" strike="noStrike" baseline="0">
                  <a:solidFill>
                    <a:srgbClr val="000000"/>
                  </a:solidFill>
                  <a:latin typeface="Calibri"/>
                </a:rPr>
                <a:t>Réinitialiser le formulaire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6</xdr:col>
      <xdr:colOff>1928813</xdr:colOff>
      <xdr:row>1</xdr:row>
      <xdr:rowOff>873126</xdr:rowOff>
    </xdr:from>
    <xdr:to>
      <xdr:col>6</xdr:col>
      <xdr:colOff>2905126</xdr:colOff>
      <xdr:row>1</xdr:row>
      <xdr:rowOff>1373188</xdr:rowOff>
    </xdr:to>
    <xdr:pic>
      <xdr:nvPicPr>
        <xdr:cNvPr id="8" name="Image 7"/>
        <xdr:cNvPicPr/>
      </xdr:nvPicPr>
      <xdr:blipFill>
        <a:blip xmlns:r="http://schemas.openxmlformats.org/officeDocument/2006/relationships" r:embed="rId3">
          <a:grayscl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6" y="984251"/>
          <a:ext cx="976313" cy="50006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38485</xdr:colOff>
      <xdr:row>1</xdr:row>
      <xdr:rowOff>8464</xdr:rowOff>
    </xdr:from>
    <xdr:to>
      <xdr:col>7</xdr:col>
      <xdr:colOff>7620</xdr:colOff>
      <xdr:row>1</xdr:row>
      <xdr:rowOff>1447029</xdr:rowOff>
    </xdr:to>
    <xdr:pic>
      <xdr:nvPicPr>
        <xdr:cNvPr id="2" name="Image 1"/>
        <xdr:cNvPicPr>
          <a:picLocks/>
        </xdr:cNvPicPr>
      </xdr:nvPicPr>
      <xdr:blipFill rotWithShape="1">
        <a:blip xmlns:r="http://schemas.openxmlformats.org/officeDocument/2006/relationships" r:embed="rId1" cstate="print">
          <a:duotone>
            <a:prstClr val="black"/>
            <a:schemeClr val="accent5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4700"/>
                  </a14:imgEffect>
                  <a14:imgEffect>
                    <a14:saturation sat="200000"/>
                  </a14:imgEffect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-18398" t="18891" r="18398" b="10683"/>
        <a:stretch/>
      </xdr:blipFill>
      <xdr:spPr>
        <a:xfrm>
          <a:off x="3271212" y="123919"/>
          <a:ext cx="4471863" cy="143856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236220</xdr:colOff>
          <xdr:row>1</xdr:row>
          <xdr:rowOff>236220</xdr:rowOff>
        </xdr:from>
        <xdr:to>
          <xdr:col>9</xdr:col>
          <xdr:colOff>548640</xdr:colOff>
          <xdr:row>1</xdr:row>
          <xdr:rowOff>1021080</xdr:rowOff>
        </xdr:to>
        <xdr:sp macro="" textlink="">
          <xdr:nvSpPr>
            <xdr:cNvPr id="7182" name="Button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CA" sz="1100" b="0" i="0" u="none" strike="noStrike" baseline="0">
                  <a:solidFill>
                    <a:srgbClr val="000000"/>
                  </a:solidFill>
                  <a:latin typeface="Calibri"/>
                </a:rPr>
                <a:t>Réinitaliser le formulaire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6</xdr:col>
      <xdr:colOff>1724121</xdr:colOff>
      <xdr:row>1</xdr:row>
      <xdr:rowOff>946727</xdr:rowOff>
    </xdr:from>
    <xdr:to>
      <xdr:col>6</xdr:col>
      <xdr:colOff>2700434</xdr:colOff>
      <xdr:row>1</xdr:row>
      <xdr:rowOff>1446789</xdr:rowOff>
    </xdr:to>
    <xdr:pic>
      <xdr:nvPicPr>
        <xdr:cNvPr id="9" name="Image 8"/>
        <xdr:cNvPicPr/>
      </xdr:nvPicPr>
      <xdr:blipFill>
        <a:blip xmlns:r="http://schemas.openxmlformats.org/officeDocument/2006/relationships" r:embed="rId3">
          <a:grayscl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1757" y="1062182"/>
          <a:ext cx="976313" cy="50006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223732</xdr:colOff>
      <xdr:row>12</xdr:row>
      <xdr:rowOff>0</xdr:rowOff>
    </xdr:from>
    <xdr:to>
      <xdr:col>3</xdr:col>
      <xdr:colOff>385732</xdr:colOff>
      <xdr:row>28</xdr:row>
      <xdr:rowOff>180720</xdr:rowOff>
    </xdr:to>
    <xdr:sp macro="" textlink="">
      <xdr:nvSpPr>
        <xdr:cNvPr id="12" name="Rectangle 11"/>
        <xdr:cNvSpPr/>
      </xdr:nvSpPr>
      <xdr:spPr>
        <a:xfrm>
          <a:off x="1221952" y="2743200"/>
          <a:ext cx="162000" cy="3914520"/>
        </a:xfrm>
        <a:prstGeom prst="rect">
          <a:avLst/>
        </a:prstGeom>
        <a:pattFill prst="pct75">
          <a:fgClr>
            <a:srgbClr val="92D050"/>
          </a:fgClr>
          <a:bgClr>
            <a:schemeClr val="bg1"/>
          </a:bgClr>
        </a:pattFill>
        <a:ln w="63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5</xdr:col>
      <xdr:colOff>215265</xdr:colOff>
      <xdr:row>12</xdr:row>
      <xdr:rowOff>0</xdr:rowOff>
    </xdr:from>
    <xdr:to>
      <xdr:col>5</xdr:col>
      <xdr:colOff>377265</xdr:colOff>
      <xdr:row>28</xdr:row>
      <xdr:rowOff>180720</xdr:rowOff>
    </xdr:to>
    <xdr:sp macro="" textlink="">
      <xdr:nvSpPr>
        <xdr:cNvPr id="13" name="Rectangle 12"/>
        <xdr:cNvSpPr/>
      </xdr:nvSpPr>
      <xdr:spPr>
        <a:xfrm>
          <a:off x="2074545" y="2743200"/>
          <a:ext cx="162000" cy="3914520"/>
        </a:xfrm>
        <a:prstGeom prst="rect">
          <a:avLst/>
        </a:prstGeom>
        <a:pattFill prst="pct75">
          <a:fgClr>
            <a:srgbClr val="92D050"/>
          </a:fgClr>
          <a:bgClr>
            <a:schemeClr val="bg1"/>
          </a:bgClr>
        </a:pattFill>
        <a:ln w="63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7</xdr:col>
      <xdr:colOff>223732</xdr:colOff>
      <xdr:row>12</xdr:row>
      <xdr:rowOff>0</xdr:rowOff>
    </xdr:from>
    <xdr:to>
      <xdr:col>7</xdr:col>
      <xdr:colOff>385732</xdr:colOff>
      <xdr:row>28</xdr:row>
      <xdr:rowOff>180720</xdr:rowOff>
    </xdr:to>
    <xdr:sp macro="" textlink="">
      <xdr:nvSpPr>
        <xdr:cNvPr id="14" name="Rectangle 13"/>
        <xdr:cNvSpPr/>
      </xdr:nvSpPr>
      <xdr:spPr>
        <a:xfrm>
          <a:off x="2944072" y="2743200"/>
          <a:ext cx="162000" cy="3914520"/>
        </a:xfrm>
        <a:prstGeom prst="rect">
          <a:avLst/>
        </a:prstGeom>
        <a:pattFill prst="pct75">
          <a:fgClr>
            <a:srgbClr val="92D050"/>
          </a:fgClr>
          <a:bgClr>
            <a:schemeClr val="bg1"/>
          </a:bgClr>
        </a:pattFill>
        <a:ln w="63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31</xdr:col>
      <xdr:colOff>1</xdr:colOff>
      <xdr:row>23</xdr:row>
      <xdr:rowOff>171450</xdr:rowOff>
    </xdr:from>
    <xdr:to>
      <xdr:col>47</xdr:col>
      <xdr:colOff>85725</xdr:colOff>
      <xdr:row>35</xdr:row>
      <xdr:rowOff>18103</xdr:rowOff>
    </xdr:to>
    <xdr:cxnSp macro="">
      <xdr:nvCxnSpPr>
        <xdr:cNvPr id="15" name="Connecteur en arc 14"/>
        <xdr:cNvCxnSpPr/>
      </xdr:nvCxnSpPr>
      <xdr:spPr>
        <a:xfrm flipV="1">
          <a:off x="11209021" y="5734050"/>
          <a:ext cx="5069204" cy="2269813"/>
        </a:xfrm>
        <a:prstGeom prst="curvedConnector3">
          <a:avLst>
            <a:gd name="adj1" fmla="val 103196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495304</xdr:colOff>
      <xdr:row>24</xdr:row>
      <xdr:rowOff>47625</xdr:rowOff>
    </xdr:from>
    <xdr:to>
      <xdr:col>26</xdr:col>
      <xdr:colOff>4</xdr:colOff>
      <xdr:row>35</xdr:row>
      <xdr:rowOff>63065</xdr:rowOff>
    </xdr:to>
    <xdr:cxnSp macro="">
      <xdr:nvCxnSpPr>
        <xdr:cNvPr id="16" name="Connecteur en arc 15"/>
        <xdr:cNvCxnSpPr/>
      </xdr:nvCxnSpPr>
      <xdr:spPr>
        <a:xfrm rot="10800000">
          <a:off x="6652264" y="5793105"/>
          <a:ext cx="2674620" cy="2255720"/>
        </a:xfrm>
        <a:prstGeom prst="curvedConnector3">
          <a:avLst>
            <a:gd name="adj1" fmla="val 107143"/>
          </a:avLst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25400</xdr:colOff>
      <xdr:row>12</xdr:row>
      <xdr:rowOff>0</xdr:rowOff>
    </xdr:from>
    <xdr:to>
      <xdr:col>26</xdr:col>
      <xdr:colOff>302262</xdr:colOff>
      <xdr:row>28</xdr:row>
      <xdr:rowOff>189187</xdr:rowOff>
    </xdr:to>
    <xdr:sp macro="" textlink="">
      <xdr:nvSpPr>
        <xdr:cNvPr id="17" name="Rectangle 16"/>
        <xdr:cNvSpPr/>
      </xdr:nvSpPr>
      <xdr:spPr>
        <a:xfrm>
          <a:off x="9352280" y="2743200"/>
          <a:ext cx="276862" cy="3922987"/>
        </a:xfrm>
        <a:prstGeom prst="rect">
          <a:avLst/>
        </a:prstGeom>
        <a:pattFill prst="pct75">
          <a:fgClr>
            <a:srgbClr val="92D050"/>
          </a:fgClr>
          <a:bgClr>
            <a:schemeClr val="bg1"/>
          </a:bgClr>
        </a:pattFill>
        <a:ln w="63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30</xdr:col>
      <xdr:colOff>33866</xdr:colOff>
      <xdr:row>12</xdr:row>
      <xdr:rowOff>0</xdr:rowOff>
    </xdr:from>
    <xdr:to>
      <xdr:col>31</xdr:col>
      <xdr:colOff>149862</xdr:colOff>
      <xdr:row>28</xdr:row>
      <xdr:rowOff>189187</xdr:rowOff>
    </xdr:to>
    <xdr:sp macro="" textlink="">
      <xdr:nvSpPr>
        <xdr:cNvPr id="18" name="Rectangle 17"/>
        <xdr:cNvSpPr/>
      </xdr:nvSpPr>
      <xdr:spPr>
        <a:xfrm>
          <a:off x="11082866" y="2743200"/>
          <a:ext cx="276016" cy="3922987"/>
        </a:xfrm>
        <a:prstGeom prst="rect">
          <a:avLst/>
        </a:prstGeom>
        <a:pattFill prst="pct75">
          <a:fgClr>
            <a:srgbClr val="92D050"/>
          </a:fgClr>
          <a:bgClr>
            <a:schemeClr val="bg1"/>
          </a:bgClr>
        </a:pattFill>
        <a:ln w="63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26</xdr:col>
      <xdr:colOff>25400</xdr:colOff>
      <xdr:row>40</xdr:row>
      <xdr:rowOff>0</xdr:rowOff>
    </xdr:from>
    <xdr:to>
      <xdr:col>26</xdr:col>
      <xdr:colOff>302262</xdr:colOff>
      <xdr:row>56</xdr:row>
      <xdr:rowOff>189187</xdr:rowOff>
    </xdr:to>
    <xdr:sp macro="" textlink="">
      <xdr:nvSpPr>
        <xdr:cNvPr id="19" name="Rectangle 18"/>
        <xdr:cNvSpPr/>
      </xdr:nvSpPr>
      <xdr:spPr>
        <a:xfrm>
          <a:off x="9352280" y="9189720"/>
          <a:ext cx="276862" cy="3420067"/>
        </a:xfrm>
        <a:prstGeom prst="rect">
          <a:avLst/>
        </a:prstGeom>
        <a:pattFill prst="pct75">
          <a:fgClr>
            <a:schemeClr val="accent4">
              <a:lumMod val="50000"/>
            </a:schemeClr>
          </a:fgClr>
          <a:bgClr>
            <a:schemeClr val="bg1"/>
          </a:bgClr>
        </a:pattFill>
        <a:ln w="63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30</xdr:col>
      <xdr:colOff>33866</xdr:colOff>
      <xdr:row>40</xdr:row>
      <xdr:rowOff>0</xdr:rowOff>
    </xdr:from>
    <xdr:to>
      <xdr:col>31</xdr:col>
      <xdr:colOff>149862</xdr:colOff>
      <xdr:row>56</xdr:row>
      <xdr:rowOff>189187</xdr:rowOff>
    </xdr:to>
    <xdr:sp macro="" textlink="">
      <xdr:nvSpPr>
        <xdr:cNvPr id="20" name="Rectangle 19"/>
        <xdr:cNvSpPr/>
      </xdr:nvSpPr>
      <xdr:spPr>
        <a:xfrm>
          <a:off x="11082866" y="9189720"/>
          <a:ext cx="276016" cy="3420067"/>
        </a:xfrm>
        <a:prstGeom prst="rect">
          <a:avLst/>
        </a:prstGeom>
        <a:pattFill prst="pct75">
          <a:fgClr>
            <a:schemeClr val="accent4">
              <a:lumMod val="50000"/>
            </a:schemeClr>
          </a:fgClr>
          <a:bgClr>
            <a:schemeClr val="bg1"/>
          </a:bgClr>
        </a:pattFill>
        <a:ln w="635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17</xdr:col>
      <xdr:colOff>84667</xdr:colOff>
      <xdr:row>44</xdr:row>
      <xdr:rowOff>97971</xdr:rowOff>
    </xdr:from>
    <xdr:to>
      <xdr:col>21</xdr:col>
      <xdr:colOff>65315</xdr:colOff>
      <xdr:row>44</xdr:row>
      <xdr:rowOff>99485</xdr:rowOff>
    </xdr:to>
    <xdr:cxnSp macro="">
      <xdr:nvCxnSpPr>
        <xdr:cNvPr id="21" name="Connecteur en arc 20"/>
        <xdr:cNvCxnSpPr/>
      </xdr:nvCxnSpPr>
      <xdr:spPr>
        <a:xfrm flipV="1">
          <a:off x="5487247" y="10217331"/>
          <a:ext cx="2487628" cy="1514"/>
        </a:xfrm>
        <a:prstGeom prst="curvedConnector3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R1048576"/>
  <sheetViews>
    <sheetView tabSelected="1" zoomScale="96" zoomScaleNormal="96" workbookViewId="0">
      <selection activeCell="G5" sqref="G5"/>
    </sheetView>
  </sheetViews>
  <sheetFormatPr baseColWidth="10" defaultRowHeight="14.4" x14ac:dyDescent="0.3"/>
  <cols>
    <col min="1" max="3" width="15.77734375" style="36" customWidth="1"/>
    <col min="4" max="4" width="16.88671875" style="36" customWidth="1"/>
    <col min="5" max="5" width="19.33203125" style="36" customWidth="1"/>
    <col min="6" max="6" width="7.21875" style="36" customWidth="1"/>
    <col min="7" max="7" width="43.5546875" style="36" customWidth="1"/>
    <col min="8" max="8" width="11.5546875" style="36"/>
    <col min="9" max="9" width="12.77734375" style="36" customWidth="1"/>
    <col min="10" max="11" width="11.5546875" style="36"/>
    <col min="12" max="12" width="23.6640625" style="36" customWidth="1"/>
    <col min="13" max="16384" width="11.5546875" style="36"/>
  </cols>
  <sheetData>
    <row r="1" spans="1:11" ht="9" customHeight="1" thickBot="1" x14ac:dyDescent="0.35">
      <c r="A1" s="358"/>
      <c r="B1" s="359"/>
      <c r="C1" s="359"/>
      <c r="D1" s="359"/>
      <c r="E1" s="359"/>
      <c r="F1" s="359"/>
      <c r="G1" s="360"/>
    </row>
    <row r="2" spans="1:11" ht="117" customHeight="1" thickBot="1" x14ac:dyDescent="0.35">
      <c r="A2" s="336" t="s">
        <v>634</v>
      </c>
      <c r="B2" s="337"/>
      <c r="C2" s="337"/>
      <c r="D2" s="337"/>
      <c r="E2" s="337"/>
      <c r="F2" s="62"/>
      <c r="G2" s="69"/>
      <c r="J2" s="47"/>
      <c r="K2" s="47"/>
    </row>
    <row r="3" spans="1:11" ht="16.2" thickBot="1" x14ac:dyDescent="0.35">
      <c r="A3" s="361" t="s">
        <v>505</v>
      </c>
      <c r="B3" s="362"/>
      <c r="C3" s="362"/>
      <c r="D3" s="362"/>
      <c r="E3" s="362"/>
      <c r="F3" s="362"/>
      <c r="G3" s="363"/>
    </row>
    <row r="4" spans="1:11" ht="16.2" thickBot="1" x14ac:dyDescent="0.35">
      <c r="A4" s="364" t="s">
        <v>0</v>
      </c>
      <c r="B4" s="365"/>
      <c r="C4" s="365"/>
      <c r="D4" s="365"/>
      <c r="E4" s="365"/>
      <c r="F4" s="365"/>
      <c r="G4" s="366"/>
      <c r="I4"/>
    </row>
    <row r="5" spans="1:11" ht="15" thickBot="1" x14ac:dyDescent="0.35">
      <c r="A5" s="303" t="s">
        <v>664</v>
      </c>
      <c r="B5" s="304"/>
      <c r="C5" s="304"/>
      <c r="D5" s="304"/>
      <c r="E5" s="304"/>
      <c r="F5" s="305"/>
      <c r="G5" s="135"/>
    </row>
    <row r="6" spans="1:11" s="134" customFormat="1" ht="15" thickBot="1" x14ac:dyDescent="0.35">
      <c r="A6" s="294" t="s">
        <v>186</v>
      </c>
      <c r="B6" s="295"/>
      <c r="C6" s="295"/>
      <c r="D6" s="295"/>
      <c r="E6" s="295"/>
      <c r="F6" s="296"/>
      <c r="G6" s="136"/>
    </row>
    <row r="7" spans="1:11" ht="15" thickBot="1" x14ac:dyDescent="0.35">
      <c r="A7" s="303" t="s">
        <v>187</v>
      </c>
      <c r="B7" s="304"/>
      <c r="C7" s="304"/>
      <c r="D7" s="304"/>
      <c r="E7" s="304"/>
      <c r="F7" s="305"/>
      <c r="G7" s="136"/>
    </row>
    <row r="8" spans="1:11" ht="15" thickBot="1" x14ac:dyDescent="0.35">
      <c r="A8" s="303" t="s">
        <v>188</v>
      </c>
      <c r="B8" s="304"/>
      <c r="C8" s="304"/>
      <c r="D8" s="304"/>
      <c r="E8" s="304"/>
      <c r="F8" s="305"/>
      <c r="G8" s="136"/>
    </row>
    <row r="9" spans="1:11" ht="15" thickBot="1" x14ac:dyDescent="0.35">
      <c r="A9" s="303" t="s">
        <v>189</v>
      </c>
      <c r="B9" s="304"/>
      <c r="C9" s="304"/>
      <c r="D9" s="304"/>
      <c r="E9" s="304"/>
      <c r="F9" s="305"/>
      <c r="G9" s="136" t="s">
        <v>404</v>
      </c>
    </row>
    <row r="10" spans="1:11" ht="15" thickBot="1" x14ac:dyDescent="0.35">
      <c r="A10" s="303" t="s">
        <v>190</v>
      </c>
      <c r="B10" s="304"/>
      <c r="C10" s="304"/>
      <c r="D10" s="304"/>
      <c r="E10" s="304"/>
      <c r="F10" s="305"/>
      <c r="G10" s="136"/>
    </row>
    <row r="11" spans="1:11" ht="16.2" customHeight="1" thickBot="1" x14ac:dyDescent="0.35">
      <c r="A11" s="367" t="s">
        <v>656</v>
      </c>
      <c r="B11" s="368"/>
      <c r="C11" s="368"/>
      <c r="D11" s="368"/>
      <c r="E11" s="368"/>
      <c r="F11" s="368"/>
      <c r="G11" s="369"/>
    </row>
    <row r="12" spans="1:11" ht="16.2" customHeight="1" thickBot="1" x14ac:dyDescent="0.35">
      <c r="A12" s="294" t="str">
        <f>"Choix de la formule en fonction du code DICA  -  "&amp;G9</f>
        <v>Choix de la formule en fonction du code DICA  -  Inscrire une valeur</v>
      </c>
      <c r="B12" s="295"/>
      <c r="C12" s="295"/>
      <c r="D12" s="295"/>
      <c r="E12" s="295"/>
      <c r="F12" s="192" t="str">
        <f>IFERROR(VLOOKUP(G9,Menus!A259:F360,6,FALSE),"F_Utilisateur")</f>
        <v>F_Utilisateur</v>
      </c>
      <c r="G12" s="158" t="s">
        <v>404</v>
      </c>
    </row>
    <row r="13" spans="1:11" ht="16.2" thickBot="1" x14ac:dyDescent="0.35">
      <c r="A13" s="367" t="s">
        <v>657</v>
      </c>
      <c r="B13" s="368"/>
      <c r="C13" s="368"/>
      <c r="D13" s="368"/>
      <c r="E13" s="368"/>
      <c r="F13" s="368"/>
      <c r="G13" s="369"/>
    </row>
    <row r="14" spans="1:11" ht="16.2" thickBot="1" x14ac:dyDescent="0.35">
      <c r="A14" s="300" t="s">
        <v>497</v>
      </c>
      <c r="B14" s="301"/>
      <c r="C14" s="301"/>
      <c r="D14" s="301"/>
      <c r="E14" s="301"/>
      <c r="F14" s="301"/>
      <c r="G14" s="302"/>
    </row>
    <row r="15" spans="1:11" ht="15" thickBot="1" x14ac:dyDescent="0.35">
      <c r="A15" s="333" t="s">
        <v>593</v>
      </c>
      <c r="B15" s="334"/>
      <c r="C15" s="334"/>
      <c r="D15" s="334"/>
      <c r="E15" s="334"/>
      <c r="F15" s="334"/>
      <c r="G15" s="335"/>
    </row>
    <row r="16" spans="1:11" ht="16.2" customHeight="1" thickBot="1" x14ac:dyDescent="0.35">
      <c r="A16" s="300" t="s">
        <v>498</v>
      </c>
      <c r="B16" s="301"/>
      <c r="C16" s="301"/>
      <c r="D16" s="301"/>
      <c r="E16" s="301"/>
      <c r="F16" s="301"/>
      <c r="G16" s="302"/>
    </row>
    <row r="17" spans="1:16" ht="15" thickBot="1" x14ac:dyDescent="0.35">
      <c r="A17" s="333" t="s">
        <v>594</v>
      </c>
      <c r="B17" s="334"/>
      <c r="C17" s="334"/>
      <c r="D17" s="334"/>
      <c r="E17" s="334"/>
      <c r="F17" s="334"/>
      <c r="G17" s="335"/>
      <c r="H17" s="47"/>
    </row>
    <row r="18" spans="1:16" ht="16.2" customHeight="1" thickBot="1" x14ac:dyDescent="0.35">
      <c r="A18" s="300" t="s">
        <v>201</v>
      </c>
      <c r="B18" s="301"/>
      <c r="C18" s="301"/>
      <c r="D18" s="301"/>
      <c r="E18" s="301"/>
      <c r="F18" s="301"/>
      <c r="G18" s="302"/>
    </row>
    <row r="19" spans="1:16" ht="16.8" thickBot="1" x14ac:dyDescent="0.35">
      <c r="A19" s="333" t="s">
        <v>511</v>
      </c>
      <c r="B19" s="334"/>
      <c r="C19" s="334"/>
      <c r="D19" s="334"/>
      <c r="E19" s="334"/>
      <c r="F19" s="334"/>
      <c r="G19" s="335"/>
      <c r="J19" s="21"/>
      <c r="K19" s="21"/>
      <c r="L19" s="21"/>
      <c r="M19" s="21"/>
      <c r="N19" s="21"/>
      <c r="O19" s="21"/>
      <c r="P19" s="21"/>
    </row>
    <row r="20" spans="1:16" ht="16.2" customHeight="1" thickBot="1" x14ac:dyDescent="0.35">
      <c r="A20" s="300" t="s">
        <v>202</v>
      </c>
      <c r="B20" s="301"/>
      <c r="C20" s="301"/>
      <c r="D20" s="301"/>
      <c r="E20" s="301"/>
      <c r="F20" s="301"/>
      <c r="G20" s="302"/>
      <c r="J20" s="47"/>
      <c r="K20" s="47"/>
      <c r="L20" s="47"/>
      <c r="M20" s="47"/>
      <c r="N20" s="47"/>
      <c r="O20" s="47"/>
      <c r="P20" s="47"/>
    </row>
    <row r="21" spans="1:16" ht="16.8" thickBot="1" x14ac:dyDescent="0.35">
      <c r="A21" s="333" t="s">
        <v>512</v>
      </c>
      <c r="B21" s="334"/>
      <c r="C21" s="334"/>
      <c r="D21" s="334"/>
      <c r="E21" s="334"/>
      <c r="F21" s="334"/>
      <c r="G21" s="335"/>
      <c r="J21" s="47"/>
      <c r="K21" s="47"/>
      <c r="L21" s="47"/>
      <c r="M21" s="47"/>
      <c r="N21" s="47"/>
      <c r="O21" s="47"/>
      <c r="P21" s="47"/>
    </row>
    <row r="22" spans="1:16" ht="16.2" customHeight="1" thickBot="1" x14ac:dyDescent="0.35">
      <c r="A22" s="300" t="s">
        <v>203</v>
      </c>
      <c r="B22" s="301"/>
      <c r="C22" s="301"/>
      <c r="D22" s="301"/>
      <c r="E22" s="301"/>
      <c r="F22" s="301"/>
      <c r="G22" s="302"/>
      <c r="J22" s="47"/>
      <c r="K22" s="47"/>
      <c r="L22" s="47"/>
      <c r="M22" s="47"/>
      <c r="N22" s="47"/>
      <c r="O22" s="47"/>
      <c r="P22" s="47"/>
    </row>
    <row r="23" spans="1:16" ht="16.8" thickBot="1" x14ac:dyDescent="0.35">
      <c r="A23" s="333" t="s">
        <v>545</v>
      </c>
      <c r="B23" s="334"/>
      <c r="C23" s="334"/>
      <c r="D23" s="334"/>
      <c r="E23" s="334"/>
      <c r="F23" s="334"/>
      <c r="G23" s="335"/>
      <c r="J23" s="47"/>
      <c r="K23" s="47"/>
      <c r="L23" s="47"/>
      <c r="M23" s="47"/>
      <c r="N23" s="47"/>
      <c r="O23" s="47"/>
      <c r="P23" s="47"/>
    </row>
    <row r="24" spans="1:16" ht="16.2" customHeight="1" thickBot="1" x14ac:dyDescent="0.35">
      <c r="A24" s="300" t="s">
        <v>8</v>
      </c>
      <c r="B24" s="301"/>
      <c r="C24" s="301"/>
      <c r="D24" s="301"/>
      <c r="E24" s="301"/>
      <c r="F24" s="301"/>
      <c r="G24" s="302"/>
      <c r="J24" s="47"/>
      <c r="K24" s="47"/>
      <c r="L24" s="70"/>
      <c r="M24" s="47"/>
      <c r="N24" s="47"/>
      <c r="O24" s="47"/>
      <c r="P24" s="47"/>
    </row>
    <row r="25" spans="1:16" ht="16.8" thickBot="1" x14ac:dyDescent="0.35">
      <c r="A25" s="338" t="s">
        <v>595</v>
      </c>
      <c r="B25" s="339"/>
      <c r="C25" s="339"/>
      <c r="D25" s="339"/>
      <c r="E25" s="339"/>
      <c r="F25" s="339"/>
      <c r="G25" s="340"/>
    </row>
    <row r="26" spans="1:16" ht="16.2" thickBot="1" x14ac:dyDescent="0.35">
      <c r="A26" s="300" t="s">
        <v>204</v>
      </c>
      <c r="B26" s="301"/>
      <c r="C26" s="301"/>
      <c r="D26" s="301"/>
      <c r="E26" s="301"/>
      <c r="F26" s="301"/>
      <c r="G26" s="302"/>
    </row>
    <row r="27" spans="1:16" ht="16.8" thickBot="1" x14ac:dyDescent="0.35">
      <c r="A27" s="338" t="s">
        <v>547</v>
      </c>
      <c r="B27" s="339"/>
      <c r="C27" s="339"/>
      <c r="D27" s="339"/>
      <c r="E27" s="339"/>
      <c r="F27" s="339"/>
      <c r="G27" s="340"/>
    </row>
    <row r="28" spans="1:16" ht="16.2" thickBot="1" x14ac:dyDescent="0.35">
      <c r="A28" s="300" t="s">
        <v>205</v>
      </c>
      <c r="B28" s="301"/>
      <c r="C28" s="301"/>
      <c r="D28" s="301"/>
      <c r="E28" s="301"/>
      <c r="F28" s="301"/>
      <c r="G28" s="302"/>
    </row>
    <row r="29" spans="1:16" ht="16.8" thickBot="1" x14ac:dyDescent="0.35">
      <c r="A29" s="341" t="s">
        <v>546</v>
      </c>
      <c r="B29" s="342"/>
      <c r="C29" s="342"/>
      <c r="D29" s="342"/>
      <c r="E29" s="342"/>
      <c r="F29" s="342"/>
      <c r="G29" s="343"/>
    </row>
    <row r="30" spans="1:16" ht="16.2" thickBot="1" x14ac:dyDescent="0.35">
      <c r="A30" s="311" t="s">
        <v>2</v>
      </c>
      <c r="B30" s="312"/>
      <c r="C30" s="312"/>
      <c r="D30" s="312"/>
      <c r="E30" s="312"/>
      <c r="F30" s="312"/>
      <c r="G30" s="313"/>
    </row>
    <row r="31" spans="1:16" ht="16.2" thickBot="1" x14ac:dyDescent="0.35">
      <c r="A31" s="300" t="s">
        <v>490</v>
      </c>
      <c r="B31" s="301"/>
      <c r="C31" s="301"/>
      <c r="D31" s="301"/>
      <c r="E31" s="301"/>
      <c r="F31" s="301"/>
      <c r="G31" s="302"/>
    </row>
    <row r="32" spans="1:16" ht="16.2" customHeight="1" thickBot="1" x14ac:dyDescent="0.35">
      <c r="A32" s="303" t="s">
        <v>3</v>
      </c>
      <c r="B32" s="304"/>
      <c r="C32" s="304"/>
      <c r="D32" s="304"/>
      <c r="E32" s="304"/>
      <c r="F32" s="190" t="e">
        <f>VLOOKUP(G12,Menus!A214:C219,2,FALSE)</f>
        <v>#N/A</v>
      </c>
      <c r="G32" s="16"/>
    </row>
    <row r="33" spans="1:11" ht="16.8" thickBot="1" x14ac:dyDescent="0.35">
      <c r="A33" s="303" t="s">
        <v>629</v>
      </c>
      <c r="B33" s="304"/>
      <c r="C33" s="304"/>
      <c r="D33" s="304"/>
      <c r="E33" s="304"/>
      <c r="F33" s="305"/>
      <c r="G33" s="31"/>
    </row>
    <row r="34" spans="1:11" ht="16.8" thickBot="1" x14ac:dyDescent="0.35">
      <c r="A34" s="303" t="s">
        <v>628</v>
      </c>
      <c r="B34" s="304"/>
      <c r="C34" s="304"/>
      <c r="D34" s="304"/>
      <c r="E34" s="304"/>
      <c r="F34" s="305"/>
      <c r="G34" s="20"/>
    </row>
    <row r="35" spans="1:11" ht="16.8" customHeight="1" thickBot="1" x14ac:dyDescent="0.35">
      <c r="A35" s="350" t="s">
        <v>630</v>
      </c>
      <c r="B35" s="351"/>
      <c r="C35" s="351"/>
      <c r="D35" s="351"/>
      <c r="E35" s="351"/>
      <c r="F35" s="352"/>
      <c r="G35" s="14"/>
    </row>
    <row r="36" spans="1:11" ht="16.2" thickBot="1" x14ac:dyDescent="0.35">
      <c r="A36" s="367" t="str">
        <f>"Majorations et/ou réductions admissibles pour la formule retenue  « "&amp;G12&amp;" »"</f>
        <v>Majorations et/ou réductions admissibles pour la formule retenue  « Inscrire une valeur »</v>
      </c>
      <c r="B36" s="368"/>
      <c r="C36" s="368"/>
      <c r="D36" s="368"/>
      <c r="E36" s="368"/>
      <c r="F36" s="368"/>
      <c r="G36" s="369"/>
    </row>
    <row r="37" spans="1:11" ht="15" thickBot="1" x14ac:dyDescent="0.35">
      <c r="A37" s="347" t="str">
        <f>VLOOKUP('Calcul des taux (formules)'!G12,'Majorations applicables'!A2:G8,7,FALSE)</f>
        <v>Inscrire une valeur à la cellule G12</v>
      </c>
      <c r="B37" s="348"/>
      <c r="C37" s="348"/>
      <c r="D37" s="348"/>
      <c r="E37" s="348"/>
      <c r="F37" s="348"/>
      <c r="G37" s="349"/>
    </row>
    <row r="38" spans="1:11" ht="15" customHeight="1" thickBot="1" x14ac:dyDescent="0.35">
      <c r="A38" s="311" t="s">
        <v>631</v>
      </c>
      <c r="B38" s="312"/>
      <c r="C38" s="312"/>
      <c r="D38" s="312"/>
      <c r="E38" s="312"/>
      <c r="F38" s="312"/>
      <c r="G38" s="313"/>
    </row>
    <row r="39" spans="1:11" ht="16.2" customHeight="1" thickBot="1" x14ac:dyDescent="0.35">
      <c r="A39" s="300" t="s">
        <v>478</v>
      </c>
      <c r="B39" s="301"/>
      <c r="C39" s="301"/>
      <c r="D39" s="301"/>
      <c r="E39" s="301"/>
      <c r="F39" s="301"/>
      <c r="G39" s="302"/>
    </row>
    <row r="40" spans="1:11" ht="15" thickBot="1" x14ac:dyDescent="0.35">
      <c r="A40" s="350" t="s">
        <v>5</v>
      </c>
      <c r="B40" s="351"/>
      <c r="C40" s="351"/>
      <c r="D40" s="351"/>
      <c r="E40" s="351"/>
      <c r="F40" s="352"/>
      <c r="G40" s="12"/>
    </row>
    <row r="41" spans="1:11" ht="15" customHeight="1" thickBot="1" x14ac:dyDescent="0.35">
      <c r="A41" s="311" t="s">
        <v>663</v>
      </c>
      <c r="B41" s="312"/>
      <c r="C41" s="312"/>
      <c r="D41" s="312"/>
      <c r="E41" s="312"/>
      <c r="F41" s="312"/>
      <c r="G41" s="313"/>
    </row>
    <row r="42" spans="1:11" ht="15" customHeight="1" thickBot="1" x14ac:dyDescent="0.35">
      <c r="A42" s="385" t="s">
        <v>669</v>
      </c>
      <c r="B42" s="386"/>
      <c r="C42" s="386"/>
      <c r="D42" s="386"/>
      <c r="E42" s="386"/>
      <c r="F42" s="386"/>
      <c r="G42" s="387"/>
    </row>
    <row r="43" spans="1:11" ht="19.2" customHeight="1" thickBot="1" x14ac:dyDescent="0.35">
      <c r="A43" s="355" t="s">
        <v>670</v>
      </c>
      <c r="B43" s="356"/>
      <c r="C43" s="357"/>
      <c r="D43" s="355" t="s">
        <v>635</v>
      </c>
      <c r="E43" s="356"/>
      <c r="F43" s="357"/>
      <c r="G43" s="264" t="str">
        <f>IFERROR(IF(EXACT(G47,""),"",IF(EXACT($G$47,0),0,IF($G$47&gt;0,($G$47/SUM($G$47:$G$49)),0))),0)</f>
        <v/>
      </c>
    </row>
    <row r="44" spans="1:11" ht="15" customHeight="1" thickBot="1" x14ac:dyDescent="0.35">
      <c r="A44" s="385" t="s">
        <v>596</v>
      </c>
      <c r="B44" s="386"/>
      <c r="C44" s="386"/>
      <c r="D44" s="386"/>
      <c r="E44" s="386"/>
      <c r="F44" s="386"/>
      <c r="G44" s="387"/>
    </row>
    <row r="45" spans="1:11" ht="18.600000000000001" customHeight="1" thickBot="1" x14ac:dyDescent="0.35">
      <c r="A45" s="355" t="s">
        <v>671</v>
      </c>
      <c r="B45" s="356"/>
      <c r="C45" s="356"/>
      <c r="D45" s="356"/>
      <c r="E45" s="356"/>
      <c r="F45" s="356"/>
      <c r="G45" s="357"/>
    </row>
    <row r="46" spans="1:11" ht="16.2" thickBot="1" x14ac:dyDescent="0.35">
      <c r="A46" s="300" t="s">
        <v>476</v>
      </c>
      <c r="B46" s="301"/>
      <c r="C46" s="301"/>
      <c r="D46" s="301"/>
      <c r="E46" s="301"/>
      <c r="F46" s="301"/>
      <c r="G46" s="302"/>
    </row>
    <row r="47" spans="1:11" ht="15" customHeight="1" thickBot="1" x14ac:dyDescent="0.35">
      <c r="A47" s="382" t="s">
        <v>627</v>
      </c>
      <c r="B47" s="383"/>
      <c r="C47" s="383"/>
      <c r="D47" s="383"/>
      <c r="E47" s="383"/>
      <c r="F47" s="384"/>
      <c r="G47" s="13"/>
    </row>
    <row r="48" spans="1:11" ht="15" customHeight="1" thickBot="1" x14ac:dyDescent="0.35">
      <c r="A48" s="382" t="s">
        <v>601</v>
      </c>
      <c r="B48" s="383"/>
      <c r="C48" s="383"/>
      <c r="D48" s="383"/>
      <c r="E48" s="383"/>
      <c r="F48" s="384"/>
      <c r="G48" s="13"/>
      <c r="K48" s="196"/>
    </row>
    <row r="49" spans="1:18" ht="15" thickBot="1" x14ac:dyDescent="0.35">
      <c r="A49" s="382" t="s">
        <v>602</v>
      </c>
      <c r="B49" s="383"/>
      <c r="C49" s="383"/>
      <c r="D49" s="383"/>
      <c r="E49" s="383"/>
      <c r="F49" s="384"/>
      <c r="G49" s="13"/>
    </row>
    <row r="50" spans="1:18" ht="16.2" customHeight="1" thickBot="1" x14ac:dyDescent="0.35">
      <c r="A50" s="311" t="s">
        <v>474</v>
      </c>
      <c r="B50" s="312"/>
      <c r="C50" s="312"/>
      <c r="D50" s="312"/>
      <c r="E50" s="312"/>
      <c r="F50" s="312"/>
      <c r="G50" s="313"/>
    </row>
    <row r="51" spans="1:18" ht="15" customHeight="1" thickBot="1" x14ac:dyDescent="0.35">
      <c r="A51" s="300" t="s">
        <v>473</v>
      </c>
      <c r="B51" s="301"/>
      <c r="C51" s="301"/>
      <c r="D51" s="301"/>
      <c r="E51" s="301"/>
      <c r="F51" s="301"/>
      <c r="G51" s="302"/>
    </row>
    <row r="52" spans="1:18" ht="15" customHeight="1" thickBot="1" x14ac:dyDescent="0.35">
      <c r="A52" s="303" t="s">
        <v>475</v>
      </c>
      <c r="B52" s="304"/>
      <c r="C52" s="304"/>
      <c r="D52" s="304"/>
      <c r="E52" s="191" t="str">
        <f>IF(G12="Formule 1","Majoration_MAN_F1","Majoration_MAN_DIFF_F1")</f>
        <v>Majoration_MAN_DIFF_F1</v>
      </c>
      <c r="F52" s="193" t="str">
        <f>IFERROR(VLOOKUP(G52,Menus!A228:C230,2,FALSE),"")</f>
        <v/>
      </c>
      <c r="G52" s="72"/>
    </row>
    <row r="53" spans="1:18" ht="16.2" customHeight="1" thickBot="1" x14ac:dyDescent="0.4">
      <c r="A53" s="311" t="s">
        <v>479</v>
      </c>
      <c r="B53" s="312"/>
      <c r="C53" s="312"/>
      <c r="D53" s="312"/>
      <c r="E53" s="312"/>
      <c r="F53" s="312"/>
      <c r="G53" s="313"/>
      <c r="H53" s="165"/>
      <c r="I53" s="165"/>
      <c r="J53" s="71"/>
      <c r="K53" s="71"/>
      <c r="M53" s="166"/>
      <c r="N53" s="71"/>
      <c r="Q53" s="71"/>
      <c r="R53" s="71"/>
    </row>
    <row r="54" spans="1:18" ht="16.2" customHeight="1" thickBot="1" x14ac:dyDescent="0.35">
      <c r="A54" s="300" t="s">
        <v>477</v>
      </c>
      <c r="B54" s="301"/>
      <c r="C54" s="301"/>
      <c r="D54" s="301"/>
      <c r="E54" s="301"/>
      <c r="F54" s="301"/>
      <c r="G54" s="302"/>
      <c r="H54" s="165"/>
      <c r="I54" s="165"/>
      <c r="J54" s="71"/>
      <c r="K54" s="71"/>
      <c r="M54" s="71"/>
      <c r="N54" s="71"/>
      <c r="Q54" s="71"/>
      <c r="R54" s="71"/>
    </row>
    <row r="55" spans="1:18" ht="15" customHeight="1" thickBot="1" x14ac:dyDescent="0.35">
      <c r="A55" s="350" t="s">
        <v>506</v>
      </c>
      <c r="B55" s="351"/>
      <c r="C55" s="351"/>
      <c r="D55" s="351"/>
      <c r="E55" s="351"/>
      <c r="F55" s="352"/>
      <c r="G55" s="30"/>
      <c r="H55" s="160"/>
      <c r="I55" s="165"/>
      <c r="J55" s="199"/>
      <c r="K55" s="199"/>
      <c r="L55" s="43"/>
      <c r="M55" s="71"/>
      <c r="N55" s="71"/>
      <c r="Q55" s="71"/>
      <c r="R55" s="71"/>
    </row>
    <row r="56" spans="1:18" ht="16.2" customHeight="1" thickBot="1" x14ac:dyDescent="0.35">
      <c r="A56" s="311" t="s">
        <v>488</v>
      </c>
      <c r="B56" s="312"/>
      <c r="C56" s="312"/>
      <c r="D56" s="312"/>
      <c r="E56" s="312"/>
      <c r="F56" s="312"/>
      <c r="G56" s="313"/>
      <c r="H56" s="160"/>
      <c r="I56" s="165"/>
      <c r="J56" s="199"/>
      <c r="K56" s="199"/>
      <c r="L56" s="199"/>
      <c r="M56" s="71"/>
      <c r="N56" s="71"/>
      <c r="Q56" s="71"/>
      <c r="R56" s="71"/>
    </row>
    <row r="57" spans="1:18" ht="16.2" thickBot="1" x14ac:dyDescent="0.35">
      <c r="A57" s="300" t="s">
        <v>480</v>
      </c>
      <c r="B57" s="301"/>
      <c r="C57" s="301"/>
      <c r="D57" s="301"/>
      <c r="E57" s="301"/>
      <c r="F57" s="301"/>
      <c r="G57" s="302"/>
      <c r="H57" s="160"/>
      <c r="I57" s="165"/>
      <c r="J57" s="199"/>
      <c r="K57" s="199"/>
      <c r="L57" s="43"/>
      <c r="M57" s="71"/>
      <c r="N57" s="71"/>
      <c r="Q57" s="71"/>
      <c r="R57" s="71"/>
    </row>
    <row r="58" spans="1:18" ht="15" thickBot="1" x14ac:dyDescent="0.35">
      <c r="A58" s="303" t="s">
        <v>562</v>
      </c>
      <c r="B58" s="304"/>
      <c r="C58" s="304"/>
      <c r="D58" s="304"/>
      <c r="E58" s="305"/>
      <c r="F58" s="177" t="str">
        <f>IFERROR(VLOOKUP(G58,Menus!A223:B224,2,FALSE),"")</f>
        <v/>
      </c>
      <c r="G58" s="15"/>
      <c r="J58" s="43"/>
      <c r="K58" s="43"/>
      <c r="L58" s="43"/>
    </row>
    <row r="59" spans="1:18" ht="14.4" customHeight="1" thickBot="1" x14ac:dyDescent="0.35">
      <c r="A59" s="367" t="s">
        <v>605</v>
      </c>
      <c r="B59" s="368"/>
      <c r="C59" s="368"/>
      <c r="D59" s="368"/>
      <c r="E59" s="368"/>
      <c r="F59" s="368"/>
      <c r="G59" s="369"/>
      <c r="J59" s="43"/>
      <c r="K59" s="43"/>
      <c r="L59" s="199"/>
    </row>
    <row r="60" spans="1:18" ht="14.4" customHeight="1" thickBot="1" x14ac:dyDescent="0.35">
      <c r="A60" s="300" t="s">
        <v>604</v>
      </c>
      <c r="B60" s="301"/>
      <c r="C60" s="301"/>
      <c r="D60" s="301"/>
      <c r="E60" s="301"/>
      <c r="F60" s="301"/>
      <c r="G60" s="302"/>
      <c r="J60" s="43"/>
      <c r="K60" s="43"/>
      <c r="L60" s="43"/>
    </row>
    <row r="61" spans="1:18" ht="14.4" customHeight="1" thickBot="1" x14ac:dyDescent="0.35">
      <c r="A61" s="380" t="s">
        <v>193</v>
      </c>
      <c r="B61" s="381"/>
      <c r="C61" s="355" t="s">
        <v>194</v>
      </c>
      <c r="D61" s="357"/>
      <c r="E61" s="378" t="s">
        <v>6</v>
      </c>
      <c r="F61" s="379"/>
      <c r="G61" s="178" t="s">
        <v>7</v>
      </c>
      <c r="J61" s="43"/>
      <c r="K61" s="43"/>
      <c r="L61" s="43"/>
    </row>
    <row r="62" spans="1:18" ht="15" thickBot="1" x14ac:dyDescent="0.35">
      <c r="A62" s="353" t="s">
        <v>195</v>
      </c>
      <c r="B62" s="354"/>
      <c r="C62" s="326">
        <f>IFERROR((VLOOKUP($G$12,'Calcul des taux (formules)'!$A$1048568:$N$1048576,14,FALSE)*VLOOKUP(A62,'Majorations applicables'!$A$11:$B$15,2,FALSE)),0)</f>
        <v>0</v>
      </c>
      <c r="D62" s="327"/>
      <c r="E62" s="309">
        <f>IFERROR((C62-(VLOOKUP($G$12,'Calcul des taux (formules)'!$A$1048568:$N$1048576,14,FALSE))),0)</f>
        <v>0</v>
      </c>
      <c r="F62" s="310"/>
      <c r="G62" s="49"/>
      <c r="H62" s="274"/>
      <c r="I62" s="71"/>
      <c r="J62" s="199"/>
      <c r="K62" s="43"/>
      <c r="L62" s="43"/>
    </row>
    <row r="63" spans="1:18" ht="15" thickBot="1" x14ac:dyDescent="0.35">
      <c r="A63" s="353" t="s">
        <v>196</v>
      </c>
      <c r="B63" s="354"/>
      <c r="C63" s="326">
        <f>IFERROR((VLOOKUP($G$12,'Calcul des taux (formules)'!$A$1048568:$N$1048576,14,FALSE)*VLOOKUP(A63,'Majorations applicables'!$A$11:$B$15,2,FALSE)),0)</f>
        <v>0</v>
      </c>
      <c r="D63" s="327"/>
      <c r="E63" s="309">
        <f>IFERROR((C63-(VLOOKUP($G$12,'Calcul des taux (formules)'!$A$1048568:$N$1048576,14,FALSE))),0)</f>
        <v>0</v>
      </c>
      <c r="F63" s="310"/>
      <c r="G63" s="49"/>
      <c r="H63" s="274"/>
      <c r="J63" s="43"/>
      <c r="K63" s="43"/>
      <c r="L63" s="43"/>
    </row>
    <row r="64" spans="1:18" ht="15" thickBot="1" x14ac:dyDescent="0.35">
      <c r="A64" s="353" t="s">
        <v>197</v>
      </c>
      <c r="B64" s="354"/>
      <c r="C64" s="326">
        <f>IFERROR((VLOOKUP($G$12,'Calcul des taux (formules)'!$A$1048568:$N$1048576,14,FALSE)*VLOOKUP(A64,'Majorations applicables'!$A$11:$B$15,2,FALSE)),0)</f>
        <v>0</v>
      </c>
      <c r="D64" s="327"/>
      <c r="E64" s="309">
        <f>IFERROR((C64-(VLOOKUP($G$12,'Calcul des taux (formules)'!$A$1048568:$N$1048576,14,FALSE))),0)</f>
        <v>0</v>
      </c>
      <c r="F64" s="310"/>
      <c r="G64" s="49"/>
      <c r="H64" s="274"/>
      <c r="J64" s="43"/>
      <c r="K64" s="200"/>
      <c r="L64" s="43"/>
    </row>
    <row r="65" spans="1:12" ht="15" thickBot="1" x14ac:dyDescent="0.35">
      <c r="A65" s="353" t="s">
        <v>198</v>
      </c>
      <c r="B65" s="354"/>
      <c r="C65" s="326">
        <f>IFERROR((VLOOKUP($G$12,'Calcul des taux (formules)'!$A$1048568:$N$1048576,14,FALSE)*VLOOKUP(A65,'Majorations applicables'!$A$11:$B$15,2,FALSE)),0)</f>
        <v>0</v>
      </c>
      <c r="D65" s="327"/>
      <c r="E65" s="309">
        <f>IFERROR((C65-(VLOOKUP($G$12,'Calcul des taux (formules)'!$A$1048568:$N$1048576,14,FALSE))),0)</f>
        <v>0</v>
      </c>
      <c r="F65" s="310"/>
      <c r="G65" s="49"/>
      <c r="H65" s="274"/>
      <c r="J65" s="43"/>
      <c r="K65" s="43"/>
      <c r="L65" s="43"/>
    </row>
    <row r="66" spans="1:12" ht="15" thickBot="1" x14ac:dyDescent="0.35">
      <c r="A66" s="353" t="s">
        <v>199</v>
      </c>
      <c r="B66" s="354"/>
      <c r="C66" s="326">
        <f>IFERROR((VLOOKUP($G$12,'Calcul des taux (formules)'!$A$1048568:$N$1048576,14,FALSE)*VLOOKUP(A66,'Majorations applicables'!$A$11:$B$15,2,FALSE)),0)</f>
        <v>0</v>
      </c>
      <c r="D66" s="327"/>
      <c r="E66" s="309">
        <f>IFERROR((C66-(VLOOKUP($G$12,'Calcul des taux (formules)'!$A$1048568:$N$1048576,14,FALSE))),0)</f>
        <v>0</v>
      </c>
      <c r="F66" s="310"/>
      <c r="G66" s="49"/>
      <c r="H66" s="274"/>
    </row>
    <row r="67" spans="1:12" ht="15" thickBot="1" x14ac:dyDescent="0.35">
      <c r="A67" s="355" t="s">
        <v>200</v>
      </c>
      <c r="B67" s="356"/>
      <c r="C67" s="356"/>
      <c r="D67" s="356"/>
      <c r="E67" s="356"/>
      <c r="F67" s="357"/>
      <c r="G67" s="179">
        <f>SUM(G62:G66)</f>
        <v>0</v>
      </c>
    </row>
    <row r="68" spans="1:12" ht="16.2" thickBot="1" x14ac:dyDescent="0.35">
      <c r="A68" s="311" t="s">
        <v>408</v>
      </c>
      <c r="B68" s="312"/>
      <c r="C68" s="312"/>
      <c r="D68" s="312"/>
      <c r="E68" s="312"/>
      <c r="F68" s="312"/>
      <c r="G68" s="313"/>
    </row>
    <row r="69" spans="1:12" ht="16.2" thickBot="1" x14ac:dyDescent="0.35">
      <c r="A69" s="300" t="s">
        <v>491</v>
      </c>
      <c r="B69" s="301"/>
      <c r="C69" s="301"/>
      <c r="D69" s="301"/>
      <c r="E69" s="301"/>
      <c r="F69" s="301"/>
      <c r="G69" s="302"/>
    </row>
    <row r="70" spans="1:12" ht="15" thickBot="1" x14ac:dyDescent="0.35">
      <c r="A70" s="297" t="s">
        <v>548</v>
      </c>
      <c r="B70" s="298"/>
      <c r="C70" s="298"/>
      <c r="D70" s="298"/>
      <c r="E70" s="298"/>
      <c r="F70" s="299"/>
      <c r="G70" s="180">
        <f>IFERROR((VLOOKUP($G$12,'Calcul des taux (formules)'!$A$1048568:$H$1048576,8,FALSE)/$G$33),0)</f>
        <v>0</v>
      </c>
    </row>
    <row r="71" spans="1:12" ht="16.8" thickBot="1" x14ac:dyDescent="0.35">
      <c r="A71" s="303" t="s">
        <v>486</v>
      </c>
      <c r="B71" s="304"/>
      <c r="C71" s="304"/>
      <c r="D71" s="304"/>
      <c r="E71" s="304"/>
      <c r="F71" s="305"/>
      <c r="G71" s="181">
        <f>IFERROR((VLOOKUP($G$12,'Calcul des taux (formules)'!$A$1048568:$N$1048576,11,FALSE))/$G$33,0)</f>
        <v>0</v>
      </c>
    </row>
    <row r="72" spans="1:12" ht="16.8" thickBot="1" x14ac:dyDescent="0.35">
      <c r="A72" s="303" t="s">
        <v>485</v>
      </c>
      <c r="B72" s="304"/>
      <c r="C72" s="304"/>
      <c r="D72" s="304"/>
      <c r="E72" s="304"/>
      <c r="F72" s="305"/>
      <c r="G72" s="181">
        <f>IFERROR((VLOOKUP($G$12,'Calcul des taux (formules)'!$A$1048568:$N$1048576,12,FALSE))/$G$33,0)</f>
        <v>0</v>
      </c>
    </row>
    <row r="73" spans="1:12" ht="16.8" thickBot="1" x14ac:dyDescent="0.35">
      <c r="A73" s="303" t="s">
        <v>487</v>
      </c>
      <c r="B73" s="304"/>
      <c r="C73" s="304"/>
      <c r="D73" s="304"/>
      <c r="E73" s="304"/>
      <c r="F73" s="305"/>
      <c r="G73" s="181">
        <f>IFERROR((SUM(G70:G72)*$F$58),0)</f>
        <v>0</v>
      </c>
    </row>
    <row r="74" spans="1:12" ht="16.8" thickBot="1" x14ac:dyDescent="0.35">
      <c r="A74" s="323" t="s">
        <v>500</v>
      </c>
      <c r="B74" s="324"/>
      <c r="C74" s="324"/>
      <c r="D74" s="324"/>
      <c r="E74" s="324"/>
      <c r="F74" s="325"/>
      <c r="G74" s="180">
        <f>IFERROR((SUM(G70:G73)),0)</f>
        <v>0</v>
      </c>
    </row>
    <row r="75" spans="1:12" ht="15" thickBot="1" x14ac:dyDescent="0.35">
      <c r="A75" s="323" t="s">
        <v>489</v>
      </c>
      <c r="B75" s="324"/>
      <c r="C75" s="324"/>
      <c r="D75" s="324"/>
      <c r="E75" s="324"/>
      <c r="F75" s="325"/>
      <c r="G75" s="182">
        <f>IFERROR((G74*$G$33),0)</f>
        <v>0</v>
      </c>
    </row>
    <row r="76" spans="1:12" ht="15" thickBot="1" x14ac:dyDescent="0.35">
      <c r="A76" s="294" t="s">
        <v>572</v>
      </c>
      <c r="B76" s="295"/>
      <c r="C76" s="295"/>
      <c r="D76" s="295"/>
      <c r="E76" s="295"/>
      <c r="F76" s="296"/>
      <c r="G76" s="181">
        <f>IFERROR((SUMPRODUCT($E$62:$E$66,$G$62:$G$66)/$G$67/$G$33),0)</f>
        <v>0</v>
      </c>
    </row>
    <row r="77" spans="1:12" ht="15" thickBot="1" x14ac:dyDescent="0.35">
      <c r="A77" s="294" t="s">
        <v>569</v>
      </c>
      <c r="B77" s="295"/>
      <c r="C77" s="295"/>
      <c r="D77" s="295"/>
      <c r="E77" s="295"/>
      <c r="F77" s="296"/>
      <c r="G77" s="183">
        <f>IFERROR((SUMPRODUCT($E$62:$E$66,$G$62:$G$66)/$G$67),0)</f>
        <v>0</v>
      </c>
    </row>
    <row r="78" spans="1:12" ht="15" thickBot="1" x14ac:dyDescent="0.35">
      <c r="A78" s="294" t="s">
        <v>575</v>
      </c>
      <c r="B78" s="295"/>
      <c r="C78" s="295"/>
      <c r="D78" s="295"/>
      <c r="E78" s="295"/>
      <c r="F78" s="296"/>
      <c r="G78" s="181">
        <f>SUM(G71:G73,G76)</f>
        <v>0</v>
      </c>
    </row>
    <row r="79" spans="1:12" ht="15" thickBot="1" x14ac:dyDescent="0.35">
      <c r="A79" s="294" t="s">
        <v>576</v>
      </c>
      <c r="B79" s="295"/>
      <c r="C79" s="295"/>
      <c r="D79" s="295"/>
      <c r="E79" s="295"/>
      <c r="F79" s="296"/>
      <c r="G79" s="183">
        <f>SUM(G71:G73,G76)*G33</f>
        <v>0</v>
      </c>
    </row>
    <row r="80" spans="1:12" ht="15" thickBot="1" x14ac:dyDescent="0.35">
      <c r="A80" s="297" t="s">
        <v>571</v>
      </c>
      <c r="B80" s="298"/>
      <c r="C80" s="298"/>
      <c r="D80" s="298"/>
      <c r="E80" s="298"/>
      <c r="F80" s="299"/>
      <c r="G80" s="180">
        <f>SUM(G74,G76)</f>
        <v>0</v>
      </c>
    </row>
    <row r="81" spans="1:17" ht="15" thickBot="1" x14ac:dyDescent="0.35">
      <c r="A81" s="297" t="s">
        <v>570</v>
      </c>
      <c r="B81" s="298"/>
      <c r="C81" s="298"/>
      <c r="D81" s="298"/>
      <c r="E81" s="298"/>
      <c r="F81" s="299"/>
      <c r="G81" s="182">
        <f>SUM(G75,G77)</f>
        <v>0</v>
      </c>
    </row>
    <row r="82" spans="1:17" ht="15" thickBot="1" x14ac:dyDescent="0.35">
      <c r="A82" s="303" t="s">
        <v>463</v>
      </c>
      <c r="B82" s="304"/>
      <c r="C82" s="304"/>
      <c r="D82" s="304"/>
      <c r="E82" s="304"/>
      <c r="F82" s="305"/>
      <c r="G82" s="184">
        <f>'Majorations applicables'!$A$30</f>
        <v>0.9</v>
      </c>
    </row>
    <row r="83" spans="1:17" ht="16.2" thickBot="1" x14ac:dyDescent="0.35">
      <c r="A83" s="311" t="s">
        <v>675</v>
      </c>
      <c r="B83" s="312"/>
      <c r="C83" s="312"/>
      <c r="D83" s="312"/>
      <c r="E83" s="312"/>
      <c r="F83" s="312"/>
      <c r="G83" s="313"/>
    </row>
    <row r="84" spans="1:17" ht="16.2" thickBot="1" x14ac:dyDescent="0.35">
      <c r="A84" s="306" t="s">
        <v>409</v>
      </c>
      <c r="B84" s="307"/>
      <c r="C84" s="307"/>
      <c r="D84" s="307"/>
      <c r="E84" s="307"/>
      <c r="F84" s="308"/>
      <c r="G84" s="186">
        <f>IF(G67&lt;&gt;0,IF(ROUND((G81*$G$82),2)&lt;'Majorations applicables'!B41,'Majorations applicables'!B41,ROUND((G81*$G$82),2)),0)</f>
        <v>0</v>
      </c>
    </row>
    <row r="85" spans="1:17" ht="15" customHeight="1" thickBot="1" x14ac:dyDescent="0.35">
      <c r="A85" s="306" t="s">
        <v>7</v>
      </c>
      <c r="B85" s="307"/>
      <c r="C85" s="307"/>
      <c r="D85" s="307"/>
      <c r="E85" s="307"/>
      <c r="F85" s="308"/>
      <c r="G85" s="195">
        <f>IF(G$12="Formule 1",ROUND($G$67,2),0)</f>
        <v>0</v>
      </c>
      <c r="J85" s="71"/>
    </row>
    <row r="86" spans="1:17" ht="16.2" thickBot="1" x14ac:dyDescent="0.35">
      <c r="A86" s="306" t="s">
        <v>410</v>
      </c>
      <c r="B86" s="307"/>
      <c r="C86" s="307"/>
      <c r="D86" s="307"/>
      <c r="E86" s="307"/>
      <c r="F86" s="308"/>
      <c r="G86" s="185">
        <f>ROUND((G84*G85),2)</f>
        <v>0</v>
      </c>
    </row>
    <row r="87" spans="1:17" ht="16.2" thickBot="1" x14ac:dyDescent="0.35">
      <c r="A87" s="300" t="s">
        <v>502</v>
      </c>
      <c r="B87" s="301"/>
      <c r="C87" s="301"/>
      <c r="D87" s="301"/>
      <c r="E87" s="301"/>
      <c r="F87" s="301"/>
      <c r="G87" s="302"/>
    </row>
    <row r="88" spans="1:17" ht="15" thickBot="1" x14ac:dyDescent="0.35">
      <c r="A88" s="297" t="s">
        <v>501</v>
      </c>
      <c r="B88" s="298"/>
      <c r="C88" s="298"/>
      <c r="D88" s="298"/>
      <c r="E88" s="298"/>
      <c r="F88" s="299"/>
      <c r="G88" s="180">
        <f>IFERROR((VLOOKUP($G$12,'Calcul des taux (formules)'!$A$1048568:$H$1048576,8,FALSE)/$G$33),0)</f>
        <v>0</v>
      </c>
    </row>
    <row r="89" spans="1:17" ht="16.8" thickBot="1" x14ac:dyDescent="0.35">
      <c r="A89" s="303" t="s">
        <v>485</v>
      </c>
      <c r="B89" s="304"/>
      <c r="C89" s="304"/>
      <c r="D89" s="304"/>
      <c r="E89" s="304"/>
      <c r="F89" s="305"/>
      <c r="G89" s="181">
        <f>IFERROR((VLOOKUP($G$12,'Calcul des taux (formules)'!$A$1048568:$N$1048576,12,FALSE))/$G$33,0)</f>
        <v>0</v>
      </c>
    </row>
    <row r="90" spans="1:17" ht="16.8" thickBot="1" x14ac:dyDescent="0.35">
      <c r="A90" s="303" t="s">
        <v>487</v>
      </c>
      <c r="B90" s="304"/>
      <c r="C90" s="304"/>
      <c r="D90" s="304"/>
      <c r="E90" s="304"/>
      <c r="F90" s="305"/>
      <c r="G90" s="181">
        <f>IFERROR((VLOOKUP($G$12,'Calcul des taux (formules)'!$A$1048568:$N$1048576,13,FALSE))/$G$33,0)</f>
        <v>0</v>
      </c>
    </row>
    <row r="91" spans="1:17" ht="16.8" thickBot="1" x14ac:dyDescent="0.35">
      <c r="A91" s="323" t="s">
        <v>500</v>
      </c>
      <c r="B91" s="324"/>
      <c r="C91" s="324"/>
      <c r="D91" s="324"/>
      <c r="E91" s="324"/>
      <c r="F91" s="325"/>
      <c r="G91" s="180">
        <f>IFERROR((SUM(G88:G90)),0)</f>
        <v>0</v>
      </c>
    </row>
    <row r="92" spans="1:17" ht="15" customHeight="1" thickBot="1" x14ac:dyDescent="0.35">
      <c r="A92" s="323" t="s">
        <v>489</v>
      </c>
      <c r="B92" s="324"/>
      <c r="C92" s="324"/>
      <c r="D92" s="324"/>
      <c r="E92" s="324"/>
      <c r="F92" s="325"/>
      <c r="G92" s="182">
        <f>IFERROR((G91*$G$33),0)</f>
        <v>0</v>
      </c>
    </row>
    <row r="93" spans="1:17" ht="14.4" customHeight="1" thickBot="1" x14ac:dyDescent="0.35">
      <c r="A93" s="294" t="s">
        <v>572</v>
      </c>
      <c r="B93" s="295"/>
      <c r="C93" s="295"/>
      <c r="D93" s="295"/>
      <c r="E93" s="295"/>
      <c r="F93" s="296"/>
      <c r="G93" s="181">
        <f>IFERROR((SUMPRODUCT($E$62:$E$66,$G$62:$G$66)/$G$67/$G$33),0)</f>
        <v>0</v>
      </c>
    </row>
    <row r="94" spans="1:17" ht="15" customHeight="1" thickBot="1" x14ac:dyDescent="0.35">
      <c r="A94" s="294" t="s">
        <v>569</v>
      </c>
      <c r="B94" s="295"/>
      <c r="C94" s="295"/>
      <c r="D94" s="295"/>
      <c r="E94" s="295"/>
      <c r="F94" s="296"/>
      <c r="G94" s="183">
        <f>IFERROR((SUMPRODUCT($E$62:$E$66,$G$62:$G$66)/$G$67),0)</f>
        <v>0</v>
      </c>
      <c r="H94" s="71"/>
      <c r="I94" s="71"/>
      <c r="J94" s="71"/>
      <c r="Q94" s="164"/>
    </row>
    <row r="95" spans="1:17" ht="15" thickBot="1" x14ac:dyDescent="0.35">
      <c r="A95" s="294" t="s">
        <v>575</v>
      </c>
      <c r="B95" s="295"/>
      <c r="C95" s="295"/>
      <c r="D95" s="295"/>
      <c r="E95" s="295"/>
      <c r="F95" s="296"/>
      <c r="G95" s="181">
        <f>SUM(G89:G90,G93)</f>
        <v>0</v>
      </c>
      <c r="H95" s="71"/>
      <c r="I95" s="71"/>
      <c r="J95" s="71"/>
    </row>
    <row r="96" spans="1:17" ht="15" thickBot="1" x14ac:dyDescent="0.35">
      <c r="A96" s="294" t="s">
        <v>576</v>
      </c>
      <c r="B96" s="295"/>
      <c r="C96" s="295"/>
      <c r="D96" s="295"/>
      <c r="E96" s="295"/>
      <c r="F96" s="296"/>
      <c r="G96" s="183">
        <f>SUM(G89:G90,G93)*$G$33</f>
        <v>0</v>
      </c>
      <c r="H96" s="161"/>
      <c r="I96" s="71"/>
      <c r="J96" s="71"/>
      <c r="K96" s="167"/>
    </row>
    <row r="97" spans="1:13" ht="15" customHeight="1" thickBot="1" x14ac:dyDescent="0.35">
      <c r="A97" s="297" t="s">
        <v>571</v>
      </c>
      <c r="B97" s="298"/>
      <c r="C97" s="298"/>
      <c r="D97" s="298"/>
      <c r="E97" s="298"/>
      <c r="F97" s="299"/>
      <c r="G97" s="180">
        <f>SUM(G91,G93)</f>
        <v>0</v>
      </c>
      <c r="H97" s="162"/>
      <c r="I97" s="71"/>
      <c r="J97" s="71"/>
    </row>
    <row r="98" spans="1:13" ht="15" customHeight="1" thickBot="1" x14ac:dyDescent="0.35">
      <c r="A98" s="297" t="s">
        <v>570</v>
      </c>
      <c r="B98" s="298"/>
      <c r="C98" s="298"/>
      <c r="D98" s="298"/>
      <c r="E98" s="298"/>
      <c r="F98" s="299"/>
      <c r="G98" s="182">
        <f>SUM(G92,G94)</f>
        <v>0</v>
      </c>
      <c r="H98" s="71"/>
      <c r="I98" s="71"/>
      <c r="J98" s="71"/>
      <c r="M98" s="71"/>
    </row>
    <row r="99" spans="1:13" ht="15" thickBot="1" x14ac:dyDescent="0.35">
      <c r="A99" s="303" t="s">
        <v>463</v>
      </c>
      <c r="B99" s="304"/>
      <c r="C99" s="304"/>
      <c r="D99" s="304"/>
      <c r="E99" s="304"/>
      <c r="F99" s="305"/>
      <c r="G99" s="184">
        <f>'Majorations applicables'!$A$30</f>
        <v>0.9</v>
      </c>
      <c r="H99" s="71"/>
      <c r="I99" s="71"/>
      <c r="J99" s="71"/>
    </row>
    <row r="100" spans="1:13" ht="16.2" thickBot="1" x14ac:dyDescent="0.35">
      <c r="A100" s="311" t="s">
        <v>675</v>
      </c>
      <c r="B100" s="312"/>
      <c r="C100" s="312"/>
      <c r="D100" s="312"/>
      <c r="E100" s="312"/>
      <c r="F100" s="312"/>
      <c r="G100" s="313"/>
      <c r="H100" s="71"/>
      <c r="I100" s="71"/>
      <c r="J100" s="71"/>
    </row>
    <row r="101" spans="1:13" ht="16.2" thickBot="1" x14ac:dyDescent="0.35">
      <c r="A101" s="306" t="s">
        <v>409</v>
      </c>
      <c r="B101" s="307"/>
      <c r="C101" s="307"/>
      <c r="D101" s="307"/>
      <c r="E101" s="307"/>
      <c r="F101" s="308"/>
      <c r="G101" s="186">
        <f>IF(G67&lt;&gt;0,IF(ROUND((G98*$G$99),2)&lt;'Majorations applicables'!B41,'Majorations applicables'!B41,ROUND((G98*$G$99),2)),0)</f>
        <v>0</v>
      </c>
      <c r="H101" s="71"/>
      <c r="I101" s="71"/>
      <c r="J101" s="71"/>
    </row>
    <row r="102" spans="1:13" ht="16.2" thickBot="1" x14ac:dyDescent="0.35">
      <c r="A102" s="306" t="s">
        <v>7</v>
      </c>
      <c r="B102" s="307"/>
      <c r="C102" s="307"/>
      <c r="D102" s="307"/>
      <c r="E102" s="307"/>
      <c r="F102" s="308"/>
      <c r="G102" s="195">
        <f>IF(G$12="Formule 2",ROUND($G$67,2),0)</f>
        <v>0</v>
      </c>
      <c r="H102" s="161"/>
      <c r="I102" s="71"/>
      <c r="J102" s="71"/>
    </row>
    <row r="103" spans="1:13" ht="16.2" thickBot="1" x14ac:dyDescent="0.35">
      <c r="A103" s="306" t="s">
        <v>410</v>
      </c>
      <c r="B103" s="307"/>
      <c r="C103" s="307"/>
      <c r="D103" s="307"/>
      <c r="E103" s="307"/>
      <c r="F103" s="308"/>
      <c r="G103" s="185">
        <f>ROUND((G101*G102),2)</f>
        <v>0</v>
      </c>
      <c r="H103" s="161"/>
      <c r="I103" s="71"/>
      <c r="J103" s="71"/>
    </row>
    <row r="104" spans="1:13" ht="16.2" thickBot="1" x14ac:dyDescent="0.35">
      <c r="A104" s="300" t="s">
        <v>503</v>
      </c>
      <c r="B104" s="301"/>
      <c r="C104" s="301"/>
      <c r="D104" s="301"/>
      <c r="E104" s="301"/>
      <c r="F104" s="301"/>
      <c r="G104" s="302"/>
      <c r="J104" s="71"/>
      <c r="K104" s="163"/>
      <c r="L104" s="71"/>
    </row>
    <row r="105" spans="1:13" ht="15" thickBot="1" x14ac:dyDescent="0.35">
      <c r="A105" s="297" t="s">
        <v>501</v>
      </c>
      <c r="B105" s="298"/>
      <c r="C105" s="298"/>
      <c r="D105" s="298"/>
      <c r="E105" s="298"/>
      <c r="F105" s="299"/>
      <c r="G105" s="180">
        <f>IFERROR((VLOOKUP($G$12,'Calcul des taux (formules)'!$A$1048568:$H$1048576,8,FALSE)/$G$33),0)</f>
        <v>0</v>
      </c>
      <c r="I105" s="71"/>
      <c r="J105" s="71"/>
      <c r="K105" s="273"/>
      <c r="L105" s="71"/>
    </row>
    <row r="106" spans="1:13" ht="16.8" thickBot="1" x14ac:dyDescent="0.35">
      <c r="A106" s="303" t="s">
        <v>484</v>
      </c>
      <c r="B106" s="304"/>
      <c r="C106" s="304"/>
      <c r="D106" s="304"/>
      <c r="E106" s="304"/>
      <c r="F106" s="305"/>
      <c r="G106" s="181">
        <f>IFERROR((VLOOKUP($G$12,'Calcul des taux (formules)'!$A$1048568:$N$1048576,9,FALSE))/G33,0)</f>
        <v>0</v>
      </c>
      <c r="H106" s="265"/>
      <c r="I106" s="71"/>
      <c r="J106" s="71"/>
      <c r="K106" s="273"/>
      <c r="L106" s="71"/>
    </row>
    <row r="107" spans="1:13" ht="15" thickBot="1" x14ac:dyDescent="0.35">
      <c r="A107" s="294" t="s">
        <v>482</v>
      </c>
      <c r="B107" s="295"/>
      <c r="C107" s="295"/>
      <c r="D107" s="295"/>
      <c r="E107" s="295"/>
      <c r="F107" s="296"/>
      <c r="G107" s="188">
        <f>IFERROR(IF($G$47&gt;0,-(('Majorations applicables'!B19*POWER($G$43,'Majorations applicables'!B20))-('Majorations applicables'!B21*$G$43)+1),IF(AND(OR(EXACT($G$47,0),(EXACT($G$47,""))),OR($G$48&gt;0,$G$49&gt;0)),"Valeurs BNT1 (BP-BE-ZNT) non valides",0)),0)</f>
        <v>0</v>
      </c>
      <c r="I107" s="43"/>
      <c r="J107" s="199"/>
      <c r="K107" s="201"/>
      <c r="L107" s="43"/>
    </row>
    <row r="108" spans="1:13" ht="15" thickBot="1" x14ac:dyDescent="0.35">
      <c r="A108" s="294" t="s">
        <v>554</v>
      </c>
      <c r="B108" s="295"/>
      <c r="C108" s="295"/>
      <c r="D108" s="295"/>
      <c r="E108" s="295"/>
      <c r="F108" s="296"/>
      <c r="G108" s="189">
        <f>IFERROR((VLOOKUP($G$12,'Calcul des taux (formules)'!$A$1048568:$N$1048576,10,FALSE))/$G$33,0)</f>
        <v>0</v>
      </c>
      <c r="I108" s="199"/>
      <c r="J108" s="199"/>
      <c r="K108" s="43"/>
      <c r="L108" s="43"/>
    </row>
    <row r="109" spans="1:13" ht="16.8" thickBot="1" x14ac:dyDescent="0.35">
      <c r="A109" s="303" t="s">
        <v>485</v>
      </c>
      <c r="B109" s="304"/>
      <c r="C109" s="304"/>
      <c r="D109" s="304"/>
      <c r="E109" s="304"/>
      <c r="F109" s="305"/>
      <c r="G109" s="181">
        <f>IFERROR((VLOOKUP($G$12,'Calcul des taux (formules)'!$A$1048568:$N$1048576,12,FALSE))/$G$33,0)</f>
        <v>0</v>
      </c>
      <c r="I109" s="43"/>
      <c r="J109" s="199"/>
      <c r="K109" s="43"/>
      <c r="L109" s="43"/>
    </row>
    <row r="110" spans="1:13" ht="16.8" thickBot="1" x14ac:dyDescent="0.35">
      <c r="A110" s="303" t="s">
        <v>487</v>
      </c>
      <c r="B110" s="304"/>
      <c r="C110" s="304"/>
      <c r="D110" s="304"/>
      <c r="E110" s="304"/>
      <c r="F110" s="305"/>
      <c r="G110" s="181">
        <f>IFERROR((VLOOKUP($G$12,'Calcul des taux (formules)'!$A$1048568:$N$1048576,13,FALSE))/$G$33,0)</f>
        <v>0</v>
      </c>
      <c r="I110" s="43"/>
      <c r="J110" s="199"/>
      <c r="K110" s="43"/>
      <c r="L110" s="43"/>
    </row>
    <row r="111" spans="1:13" ht="16.8" thickBot="1" x14ac:dyDescent="0.35">
      <c r="A111" s="323" t="s">
        <v>500</v>
      </c>
      <c r="B111" s="324"/>
      <c r="C111" s="324"/>
      <c r="D111" s="324"/>
      <c r="E111" s="324"/>
      <c r="F111" s="325"/>
      <c r="G111" s="180">
        <f>IFERROR((SUM(G105:G106,G108:G110)),0)</f>
        <v>0</v>
      </c>
      <c r="I111" s="275"/>
      <c r="J111" s="199"/>
      <c r="K111" s="43"/>
      <c r="L111" s="202"/>
    </row>
    <row r="112" spans="1:13" ht="15" thickBot="1" x14ac:dyDescent="0.35">
      <c r="A112" s="323" t="s">
        <v>489</v>
      </c>
      <c r="B112" s="324"/>
      <c r="C112" s="324"/>
      <c r="D112" s="324"/>
      <c r="E112" s="324"/>
      <c r="F112" s="325"/>
      <c r="G112" s="182">
        <f>IFERROR((G111*$G$33),0)</f>
        <v>0</v>
      </c>
      <c r="I112" s="43"/>
      <c r="J112" s="199"/>
      <c r="K112" s="43"/>
      <c r="L112" s="43"/>
    </row>
    <row r="113" spans="1:12" ht="15" thickBot="1" x14ac:dyDescent="0.35">
      <c r="A113" s="294" t="s">
        <v>572</v>
      </c>
      <c r="B113" s="295"/>
      <c r="C113" s="295"/>
      <c r="D113" s="295"/>
      <c r="E113" s="295"/>
      <c r="F113" s="296"/>
      <c r="G113" s="181">
        <f>IFERROR((SUMPRODUCT($E$62:$E$66,$G$62:$G$66)/$G$67/$G$33),0)</f>
        <v>0</v>
      </c>
      <c r="I113" s="43"/>
      <c r="J113" s="275"/>
      <c r="K113" s="276"/>
      <c r="L113" s="43"/>
    </row>
    <row r="114" spans="1:12" ht="15" thickBot="1" x14ac:dyDescent="0.35">
      <c r="A114" s="294" t="s">
        <v>569</v>
      </c>
      <c r="B114" s="295"/>
      <c r="C114" s="295"/>
      <c r="D114" s="295"/>
      <c r="E114" s="295"/>
      <c r="F114" s="296"/>
      <c r="G114" s="183">
        <f>IFERROR((SUMPRODUCT($E$62:$E$66,$G$62:$G$66)/$G$67),0)</f>
        <v>0</v>
      </c>
      <c r="I114" s="43"/>
      <c r="J114" s="43"/>
      <c r="K114" s="43"/>
      <c r="L114" s="43"/>
    </row>
    <row r="115" spans="1:12" ht="15" thickBot="1" x14ac:dyDescent="0.35">
      <c r="A115" s="294" t="s">
        <v>573</v>
      </c>
      <c r="B115" s="295"/>
      <c r="C115" s="295"/>
      <c r="D115" s="295"/>
      <c r="E115" s="295"/>
      <c r="F115" s="296"/>
      <c r="G115" s="181">
        <f>SUM($G$106,$G$108:$G$110,G113)</f>
        <v>0</v>
      </c>
      <c r="I115" s="43"/>
      <c r="J115" s="43"/>
      <c r="K115" s="275"/>
      <c r="L115" s="276"/>
    </row>
    <row r="116" spans="1:12" ht="15" thickBot="1" x14ac:dyDescent="0.35">
      <c r="A116" s="294" t="s">
        <v>574</v>
      </c>
      <c r="B116" s="295"/>
      <c r="C116" s="295"/>
      <c r="D116" s="295"/>
      <c r="E116" s="295"/>
      <c r="F116" s="296"/>
      <c r="G116" s="183">
        <f>SUM($G$106,$G$108:$G$110,$G$113)*$G$33</f>
        <v>0</v>
      </c>
      <c r="I116" s="43"/>
      <c r="J116" s="43"/>
      <c r="K116" s="43"/>
      <c r="L116" s="43"/>
    </row>
    <row r="117" spans="1:12" ht="15" thickBot="1" x14ac:dyDescent="0.35">
      <c r="A117" s="297" t="s">
        <v>571</v>
      </c>
      <c r="B117" s="298"/>
      <c r="C117" s="298"/>
      <c r="D117" s="298"/>
      <c r="E117" s="298"/>
      <c r="F117" s="299"/>
      <c r="G117" s="180">
        <f>IF(G43=0,0,SUM(G111,G113))</f>
        <v>0</v>
      </c>
      <c r="I117" s="43"/>
      <c r="J117" s="43"/>
      <c r="K117" s="43"/>
      <c r="L117" s="43"/>
    </row>
    <row r="118" spans="1:12" ht="15" thickBot="1" x14ac:dyDescent="0.35">
      <c r="A118" s="297" t="s">
        <v>570</v>
      </c>
      <c r="B118" s="298"/>
      <c r="C118" s="298"/>
      <c r="D118" s="298"/>
      <c r="E118" s="298"/>
      <c r="F118" s="299"/>
      <c r="G118" s="182">
        <f>IF(G43=0,0,SUM(G112,G114))</f>
        <v>0</v>
      </c>
      <c r="I118" s="43"/>
      <c r="J118" s="43"/>
      <c r="K118" s="43"/>
      <c r="L118" s="43"/>
    </row>
    <row r="119" spans="1:12" ht="15" thickBot="1" x14ac:dyDescent="0.35">
      <c r="A119" s="303" t="s">
        <v>463</v>
      </c>
      <c r="B119" s="304"/>
      <c r="C119" s="304"/>
      <c r="D119" s="304"/>
      <c r="E119" s="304"/>
      <c r="F119" s="305"/>
      <c r="G119" s="184">
        <f>'Majorations applicables'!$A$30</f>
        <v>0.9</v>
      </c>
      <c r="I119" s="43"/>
      <c r="J119" s="43"/>
      <c r="K119" s="43"/>
      <c r="L119" s="43"/>
    </row>
    <row r="120" spans="1:12" ht="16.2" thickBot="1" x14ac:dyDescent="0.35">
      <c r="A120" s="311" t="s">
        <v>675</v>
      </c>
      <c r="B120" s="312"/>
      <c r="C120" s="312"/>
      <c r="D120" s="312"/>
      <c r="E120" s="312"/>
      <c r="F120" s="312"/>
      <c r="G120" s="313"/>
      <c r="I120" s="43"/>
      <c r="J120" s="43"/>
      <c r="K120" s="43"/>
      <c r="L120" s="43"/>
    </row>
    <row r="121" spans="1:12" ht="16.2" thickBot="1" x14ac:dyDescent="0.35">
      <c r="A121" s="306" t="s">
        <v>409</v>
      </c>
      <c r="B121" s="307"/>
      <c r="C121" s="307"/>
      <c r="D121" s="307"/>
      <c r="E121" s="307"/>
      <c r="F121" s="308"/>
      <c r="G121" s="186">
        <f>IF(G67&lt;&gt;0,IF(ROUND((G118*$G$119),2)&lt;'Majorations applicables'!B41,'Majorations applicables'!B41,ROUND((G118*$G$119),2)),0)</f>
        <v>0</v>
      </c>
      <c r="I121" s="43"/>
      <c r="J121" s="43"/>
      <c r="K121" s="43"/>
      <c r="L121" s="43"/>
    </row>
    <row r="122" spans="1:12" ht="16.2" thickBot="1" x14ac:dyDescent="0.35">
      <c r="A122" s="306" t="s">
        <v>7</v>
      </c>
      <c r="B122" s="307"/>
      <c r="C122" s="307"/>
      <c r="D122" s="307"/>
      <c r="E122" s="307"/>
      <c r="F122" s="308"/>
      <c r="G122" s="195">
        <f>IF(OR(G$12="Formule 4",G$12="Formule 5",G$12="Formule 7"),ROUND($G$67,2),0)</f>
        <v>0</v>
      </c>
      <c r="I122" s="199"/>
      <c r="J122" s="43"/>
      <c r="K122" s="43"/>
      <c r="L122" s="43"/>
    </row>
    <row r="123" spans="1:12" ht="16.2" thickBot="1" x14ac:dyDescent="0.35">
      <c r="A123" s="306" t="s">
        <v>410</v>
      </c>
      <c r="B123" s="307"/>
      <c r="C123" s="307"/>
      <c r="D123" s="307"/>
      <c r="E123" s="307"/>
      <c r="F123" s="308"/>
      <c r="G123" s="185">
        <f>ROUND((G121*G122),2)</f>
        <v>0</v>
      </c>
      <c r="I123" s="43"/>
      <c r="J123" s="43"/>
      <c r="K123" s="43"/>
      <c r="L123" s="43"/>
    </row>
    <row r="124" spans="1:12" ht="16.2" thickBot="1" x14ac:dyDescent="0.35">
      <c r="A124" s="300" t="s">
        <v>504</v>
      </c>
      <c r="B124" s="301"/>
      <c r="C124" s="301"/>
      <c r="D124" s="301"/>
      <c r="E124" s="301"/>
      <c r="F124" s="301"/>
      <c r="G124" s="302"/>
    </row>
    <row r="125" spans="1:12" ht="15" thickBot="1" x14ac:dyDescent="0.35">
      <c r="A125" s="297" t="s">
        <v>501</v>
      </c>
      <c r="B125" s="298"/>
      <c r="C125" s="298"/>
      <c r="D125" s="298"/>
      <c r="E125" s="298"/>
      <c r="F125" s="299"/>
      <c r="G125" s="180">
        <f>IFERROR((VLOOKUP($G$12,'Calcul des taux (formules)'!$A$1048568:$N$1048576,8,FALSE)/$G$33),0)</f>
        <v>0</v>
      </c>
    </row>
    <row r="126" spans="1:12" ht="16.8" thickBot="1" x14ac:dyDescent="0.35">
      <c r="A126" s="303" t="s">
        <v>484</v>
      </c>
      <c r="B126" s="304"/>
      <c r="C126" s="304"/>
      <c r="D126" s="304"/>
      <c r="E126" s="304"/>
      <c r="F126" s="305"/>
      <c r="G126" s="181">
        <f>IFERROR((VLOOKUP($G$12,'Calcul des taux (formules)'!$A$1048568:$N$1048576,9,FALSE)/$G$33),0)</f>
        <v>0</v>
      </c>
    </row>
    <row r="127" spans="1:12" ht="15" thickBot="1" x14ac:dyDescent="0.35">
      <c r="A127" s="294" t="s">
        <v>482</v>
      </c>
      <c r="B127" s="295"/>
      <c r="C127" s="295"/>
      <c r="D127" s="295"/>
      <c r="E127" s="295"/>
      <c r="F127" s="296"/>
      <c r="G127" s="187">
        <f>IFERROR(IF($G$47&gt;0,-('Majorations applicables'!B19*POWER($G$43,'Majorations applicables'!B20)-('Majorations applicables'!B21*$G$43)+1),IF(AND(OR(EXACT($G$47,0),(EXACT($G$47,""))),OR($G$48&gt;0,$G$49&gt;0)),"Valeurs BNT1 (BP-BE-ZNT) non valides",0)),0)</f>
        <v>0</v>
      </c>
    </row>
    <row r="128" spans="1:12" ht="15" thickBot="1" x14ac:dyDescent="0.35">
      <c r="A128" s="294" t="s">
        <v>483</v>
      </c>
      <c r="B128" s="295"/>
      <c r="C128" s="295"/>
      <c r="D128" s="295"/>
      <c r="E128" s="295"/>
      <c r="F128" s="296"/>
      <c r="G128" s="181">
        <f>IFERROR((VLOOKUP($G$12,'Calcul des taux (formules)'!$A$1048568:$N$1048576,10,FALSE)/$G$33),0)</f>
        <v>0</v>
      </c>
    </row>
    <row r="129" spans="1:7" ht="16.8" thickBot="1" x14ac:dyDescent="0.35">
      <c r="A129" s="303" t="s">
        <v>487</v>
      </c>
      <c r="B129" s="304"/>
      <c r="C129" s="304"/>
      <c r="D129" s="304"/>
      <c r="E129" s="304"/>
      <c r="F129" s="305"/>
      <c r="G129" s="181">
        <f>IFERROR((VLOOKUP($G$12,'Calcul des taux (formules)'!$A$1048568:$N$1048576,13,FALSE))/$G$33,0)</f>
        <v>0</v>
      </c>
    </row>
    <row r="130" spans="1:7" ht="16.8" thickBot="1" x14ac:dyDescent="0.35">
      <c r="A130" s="323" t="s">
        <v>500</v>
      </c>
      <c r="B130" s="324"/>
      <c r="C130" s="324"/>
      <c r="D130" s="324"/>
      <c r="E130" s="324"/>
      <c r="F130" s="325"/>
      <c r="G130" s="180">
        <f>IFERROR((SUM(G125:G126,G128:G129)),0)</f>
        <v>0</v>
      </c>
    </row>
    <row r="131" spans="1:7" ht="15" thickBot="1" x14ac:dyDescent="0.35">
      <c r="A131" s="323" t="s">
        <v>489</v>
      </c>
      <c r="B131" s="324"/>
      <c r="C131" s="324"/>
      <c r="D131" s="324"/>
      <c r="E131" s="324"/>
      <c r="F131" s="325"/>
      <c r="G131" s="182">
        <f>IFERROR((G130*$G$33),0)</f>
        <v>0</v>
      </c>
    </row>
    <row r="132" spans="1:7" ht="15" thickBot="1" x14ac:dyDescent="0.35">
      <c r="A132" s="294" t="s">
        <v>572</v>
      </c>
      <c r="B132" s="295"/>
      <c r="C132" s="295"/>
      <c r="D132" s="295"/>
      <c r="E132" s="295"/>
      <c r="F132" s="296"/>
      <c r="G132" s="181">
        <f>IFERROR((SUMPRODUCT($E$62:$E$66,$G$62:$G$66)/$G$67/$G$33),0)</f>
        <v>0</v>
      </c>
    </row>
    <row r="133" spans="1:7" ht="15" thickBot="1" x14ac:dyDescent="0.35">
      <c r="A133" s="294" t="s">
        <v>569</v>
      </c>
      <c r="B133" s="295"/>
      <c r="C133" s="295"/>
      <c r="D133" s="295"/>
      <c r="E133" s="295"/>
      <c r="F133" s="296"/>
      <c r="G133" s="183">
        <f>IFERROR((SUMPRODUCT($E$62:$E$66,$G$62:$G$66)/$G$67),0)</f>
        <v>0</v>
      </c>
    </row>
    <row r="134" spans="1:7" ht="15" thickBot="1" x14ac:dyDescent="0.35">
      <c r="A134" s="294" t="s">
        <v>573</v>
      </c>
      <c r="B134" s="295"/>
      <c r="C134" s="295"/>
      <c r="D134" s="295"/>
      <c r="E134" s="295"/>
      <c r="F134" s="296"/>
      <c r="G134" s="181">
        <f>SUM(G126,G128:G129,G132)</f>
        <v>0</v>
      </c>
    </row>
    <row r="135" spans="1:7" ht="15" thickBot="1" x14ac:dyDescent="0.35">
      <c r="A135" s="294" t="s">
        <v>574</v>
      </c>
      <c r="B135" s="295"/>
      <c r="C135" s="295"/>
      <c r="D135" s="295"/>
      <c r="E135" s="295"/>
      <c r="F135" s="296"/>
      <c r="G135" s="183">
        <f>G134*G33</f>
        <v>0</v>
      </c>
    </row>
    <row r="136" spans="1:7" ht="15" thickBot="1" x14ac:dyDescent="0.35">
      <c r="A136" s="297" t="s">
        <v>571</v>
      </c>
      <c r="B136" s="298"/>
      <c r="C136" s="298"/>
      <c r="D136" s="298"/>
      <c r="E136" s="298"/>
      <c r="F136" s="299"/>
      <c r="G136" s="180">
        <f>IF(G43=0,0,SUM(G130,G132))</f>
        <v>0</v>
      </c>
    </row>
    <row r="137" spans="1:7" ht="15" thickBot="1" x14ac:dyDescent="0.35">
      <c r="A137" s="297" t="s">
        <v>570</v>
      </c>
      <c r="B137" s="298"/>
      <c r="C137" s="298"/>
      <c r="D137" s="298"/>
      <c r="E137" s="298"/>
      <c r="F137" s="299"/>
      <c r="G137" s="182">
        <f>IF(G43=0,0,SUM(G131,G133))</f>
        <v>0</v>
      </c>
    </row>
    <row r="138" spans="1:7" ht="15" thickBot="1" x14ac:dyDescent="0.35">
      <c r="A138" s="303" t="s">
        <v>463</v>
      </c>
      <c r="B138" s="304"/>
      <c r="C138" s="304"/>
      <c r="D138" s="304"/>
      <c r="E138" s="304"/>
      <c r="F138" s="305"/>
      <c r="G138" s="184">
        <f>'Majorations applicables'!$A$30</f>
        <v>0.9</v>
      </c>
    </row>
    <row r="139" spans="1:7" ht="16.2" thickBot="1" x14ac:dyDescent="0.35">
      <c r="A139" s="311" t="s">
        <v>675</v>
      </c>
      <c r="B139" s="312"/>
      <c r="C139" s="312"/>
      <c r="D139" s="312"/>
      <c r="E139" s="312"/>
      <c r="F139" s="312"/>
      <c r="G139" s="313"/>
    </row>
    <row r="140" spans="1:7" ht="16.2" thickBot="1" x14ac:dyDescent="0.35">
      <c r="A140" s="306" t="s">
        <v>409</v>
      </c>
      <c r="B140" s="307"/>
      <c r="C140" s="307"/>
      <c r="D140" s="307"/>
      <c r="E140" s="307"/>
      <c r="F140" s="308"/>
      <c r="G140" s="186">
        <f>IF(G67&lt;&gt;0,IF(ROUND((G137*$G$138),2)&lt;'Majorations applicables'!B41,'Majorations applicables'!B41,ROUND((G137*$G$138),2)),0)</f>
        <v>0</v>
      </c>
    </row>
    <row r="141" spans="1:7" ht="16.2" thickBot="1" x14ac:dyDescent="0.35">
      <c r="A141" s="306" t="s">
        <v>7</v>
      </c>
      <c r="B141" s="307"/>
      <c r="C141" s="307"/>
      <c r="D141" s="307"/>
      <c r="E141" s="307"/>
      <c r="F141" s="308"/>
      <c r="G141" s="195">
        <f>IF(G$12="Formule 6",ROUND($G$67,2),0)</f>
        <v>0</v>
      </c>
    </row>
    <row r="142" spans="1:7" ht="16.2" thickBot="1" x14ac:dyDescent="0.35">
      <c r="A142" s="306" t="s">
        <v>410</v>
      </c>
      <c r="B142" s="307"/>
      <c r="C142" s="307"/>
      <c r="D142" s="307"/>
      <c r="E142" s="307"/>
      <c r="F142" s="308"/>
      <c r="G142" s="185">
        <f>ROUND((G140*G141),2)</f>
        <v>0</v>
      </c>
    </row>
    <row r="143" spans="1:7" ht="3" customHeight="1" thickBot="1" x14ac:dyDescent="0.35">
      <c r="A143" s="330"/>
      <c r="B143" s="331"/>
      <c r="C143" s="331"/>
      <c r="D143" s="331"/>
      <c r="E143" s="331"/>
      <c r="F143" s="331"/>
      <c r="G143" s="332"/>
    </row>
    <row r="144" spans="1:7" ht="31.8" customHeight="1" thickBot="1" x14ac:dyDescent="0.35">
      <c r="A144" s="344" t="s">
        <v>652</v>
      </c>
      <c r="B144" s="345"/>
      <c r="C144" s="345"/>
      <c r="D144" s="345"/>
      <c r="E144" s="345"/>
      <c r="F144" s="345"/>
      <c r="G144" s="346"/>
    </row>
    <row r="145" spans="1:7" x14ac:dyDescent="0.3">
      <c r="A145" s="314"/>
      <c r="B145" s="315"/>
      <c r="C145" s="315"/>
      <c r="D145" s="315"/>
      <c r="E145" s="315"/>
      <c r="F145" s="315"/>
      <c r="G145" s="320"/>
    </row>
    <row r="146" spans="1:7" x14ac:dyDescent="0.3">
      <c r="A146" s="316"/>
      <c r="B146" s="317"/>
      <c r="C146" s="317"/>
      <c r="D146" s="317"/>
      <c r="E146" s="317"/>
      <c r="F146" s="317"/>
      <c r="G146" s="321"/>
    </row>
    <row r="147" spans="1:7" ht="15" thickBot="1" x14ac:dyDescent="0.35">
      <c r="A147" s="318"/>
      <c r="B147" s="319"/>
      <c r="C147" s="319"/>
      <c r="D147" s="319"/>
      <c r="E147" s="319"/>
      <c r="F147" s="319"/>
      <c r="G147" s="322"/>
    </row>
    <row r="148" spans="1:7" ht="15" thickBot="1" x14ac:dyDescent="0.35">
      <c r="A148" s="370" t="s">
        <v>9</v>
      </c>
      <c r="B148" s="371"/>
      <c r="C148" s="371"/>
      <c r="D148" s="371"/>
      <c r="E148" s="371"/>
      <c r="F148" s="371"/>
      <c r="G148" s="22" t="s">
        <v>10</v>
      </c>
    </row>
    <row r="149" spans="1:7" ht="25.05" customHeight="1" x14ac:dyDescent="0.3">
      <c r="A149" s="372"/>
      <c r="B149" s="373"/>
      <c r="C149" s="373"/>
      <c r="D149" s="373"/>
      <c r="E149" s="373"/>
      <c r="F149" s="374"/>
      <c r="G149" s="328">
        <f ca="1">TODAY()</f>
        <v>42852</v>
      </c>
    </row>
    <row r="150" spans="1:7" ht="25.05" customHeight="1" thickBot="1" x14ac:dyDescent="0.35">
      <c r="A150" s="375"/>
      <c r="B150" s="376"/>
      <c r="C150" s="376"/>
      <c r="D150" s="376"/>
      <c r="E150" s="376"/>
      <c r="F150" s="377"/>
      <c r="G150" s="329"/>
    </row>
    <row r="151" spans="1:7" ht="15" thickBot="1" x14ac:dyDescent="0.35">
      <c r="A151" s="388" t="s">
        <v>521</v>
      </c>
      <c r="B151" s="389"/>
      <c r="C151" s="389"/>
      <c r="D151" s="389"/>
      <c r="E151" s="389"/>
      <c r="F151" s="390"/>
      <c r="G151" s="132" t="s">
        <v>543</v>
      </c>
    </row>
    <row r="1048567" spans="1:14" ht="29.4" thickBot="1" x14ac:dyDescent="0.35">
      <c r="A1048567" s="277" t="s">
        <v>422</v>
      </c>
      <c r="B1048567" s="277" t="s">
        <v>492</v>
      </c>
      <c r="C1048567" s="277" t="s">
        <v>414</v>
      </c>
      <c r="D1048567" s="277" t="s">
        <v>415</v>
      </c>
      <c r="E1048567" s="277" t="s">
        <v>416</v>
      </c>
      <c r="F1048567" s="277" t="s">
        <v>423</v>
      </c>
      <c r="G1048567" s="277" t="s">
        <v>424</v>
      </c>
      <c r="H1048567" s="278" t="s">
        <v>582</v>
      </c>
      <c r="I1048567" s="278" t="s">
        <v>583</v>
      </c>
      <c r="J1048567" s="278" t="s">
        <v>584</v>
      </c>
      <c r="K1048567" s="278" t="s">
        <v>585</v>
      </c>
      <c r="L1048567" s="278" t="s">
        <v>586</v>
      </c>
      <c r="M1048567" s="278" t="s">
        <v>587</v>
      </c>
      <c r="N1048567" s="278" t="s">
        <v>588</v>
      </c>
    </row>
    <row r="1048568" spans="1:14" ht="43.2" x14ac:dyDescent="0.3">
      <c r="A1048568" s="279" t="s">
        <v>412</v>
      </c>
      <c r="B1048568" s="280" t="s">
        <v>590</v>
      </c>
      <c r="C1048568" s="279">
        <v>-3.85E-2</v>
      </c>
      <c r="D1048568" s="279">
        <v>325.11200000000002</v>
      </c>
      <c r="E1048568" s="279">
        <v>4.2221000000000002</v>
      </c>
      <c r="F1048568" s="279"/>
      <c r="G1048568" s="279"/>
      <c r="H1048568" s="281" t="e">
        <f>C1048568*'Calcul des taux (formules)'!G33+(D1048568/'Calcul des taux (formules)'!G33)+E1048568</f>
        <v>#DIV/0!</v>
      </c>
      <c r="I1048568" s="281" t="s">
        <v>493</v>
      </c>
      <c r="J1048568" s="281" t="s">
        <v>493</v>
      </c>
      <c r="K1048568" s="281" t="s">
        <v>493</v>
      </c>
      <c r="L1048568" s="281" t="s">
        <v>493</v>
      </c>
      <c r="M1048568" s="281" t="s">
        <v>493</v>
      </c>
      <c r="N1048568" s="281" t="s">
        <v>493</v>
      </c>
    </row>
    <row r="1048569" spans="1:14" ht="43.2" x14ac:dyDescent="0.3">
      <c r="A1048569" s="282" t="s">
        <v>413</v>
      </c>
      <c r="B1048569" s="283" t="s">
        <v>591</v>
      </c>
      <c r="C1048569" s="282">
        <v>-4.8300000000000003E-2</v>
      </c>
      <c r="D1048569" s="282">
        <v>325.11200000000002</v>
      </c>
      <c r="E1048569" s="282">
        <v>4.8777999999999997</v>
      </c>
      <c r="F1048569" s="282"/>
      <c r="G1048569" s="282"/>
      <c r="H1048569" s="284" t="e">
        <f>C1048569*'Calcul des taux (formules)'!$G$33+(D1048569/'Calcul des taux (formules)'!$G$33)+E1048569</f>
        <v>#DIV/0!</v>
      </c>
      <c r="I1048569" s="284" t="s">
        <v>493</v>
      </c>
      <c r="J1048569" s="284" t="s">
        <v>493</v>
      </c>
      <c r="K1048569" s="284" t="s">
        <v>493</v>
      </c>
      <c r="L1048569" s="284" t="s">
        <v>493</v>
      </c>
      <c r="M1048569" s="284" t="s">
        <v>493</v>
      </c>
      <c r="N1048569" s="284" t="s">
        <v>493</v>
      </c>
    </row>
    <row r="1048570" spans="1:14" ht="43.2" x14ac:dyDescent="0.3">
      <c r="A1048570" s="282" t="s">
        <v>201</v>
      </c>
      <c r="B1048570" s="282" t="s">
        <v>417</v>
      </c>
      <c r="C1048570" s="282">
        <v>4.7969999999999997</v>
      </c>
      <c r="D1048570" s="282">
        <v>-0.68200000000000005</v>
      </c>
      <c r="E1048570" s="282">
        <v>7.3879999999999999</v>
      </c>
      <c r="F1048570" s="282">
        <v>-0.39100000000000001</v>
      </c>
      <c r="G1048570" s="282"/>
      <c r="H1048570" s="284" t="e">
        <f>(H1048568+(C1048570*POWER('Calcul des taux (formules)'!$G$35,D1048570))-(E1048570*POWER('Calcul des taux (formules)'!$G$34,F1048570)))*'Calcul des taux (formules)'!$G$33</f>
        <v>#DIV/0!</v>
      </c>
      <c r="I1048570" s="284" t="s">
        <v>493</v>
      </c>
      <c r="J1048570" s="284" t="s">
        <v>493</v>
      </c>
      <c r="K1048570" s="284" t="e">
        <f>H1048570*SUM('Calcul des taux (formules)'!F52)</f>
        <v>#DIV/0!</v>
      </c>
      <c r="L1048570" s="284">
        <f>IF(OR('Calcul des taux (formules)'!$G$55&lt;15,'Calcul des taux (formules)'!$G$55="Pas de rubannage des sentiers",'Calcul des taux (formules)'!$G$55=""),0,'Majorations applicables'!$B$26*POWER('Calcul des taux (formules)'!$G$55,'Majorations applicables'!$B$27))</f>
        <v>0</v>
      </c>
      <c r="M1048570" s="284" t="e">
        <f>SUM(H1048570:L1048570)*SUM('Calcul des taux (formules)'!$F$58)</f>
        <v>#DIV/0!</v>
      </c>
      <c r="N1048570" s="284" t="e">
        <f t="shared" ref="N1048570:N1048575" si="0">SUM(H1048570:M1048570)</f>
        <v>#DIV/0!</v>
      </c>
    </row>
    <row r="1048571" spans="1:14" ht="43.2" x14ac:dyDescent="0.3">
      <c r="A1048571" s="282" t="s">
        <v>202</v>
      </c>
      <c r="B1048571" s="285" t="s">
        <v>418</v>
      </c>
      <c r="C1048571" s="282">
        <v>14.195</v>
      </c>
      <c r="D1048571" s="282">
        <v>-0.23699999999999999</v>
      </c>
      <c r="E1048571" s="282">
        <v>10.053000000000001</v>
      </c>
      <c r="F1048571" s="286">
        <v>-0.23699999999999999</v>
      </c>
      <c r="G1048571" s="282">
        <v>0.43</v>
      </c>
      <c r="H1048571" s="284" t="e">
        <f>(H1048568+(C1048571*POWER('Calcul des taux (formules)'!$G$35,D1048571))-(E1048571*POWER('Calcul des taux (formules)'!$G$34,F1048571))-G1048571)*'Calcul des taux (formules)'!$G$33</f>
        <v>#DIV/0!</v>
      </c>
      <c r="I1048571" s="284" t="s">
        <v>493</v>
      </c>
      <c r="J1048571" s="284" t="s">
        <v>493</v>
      </c>
      <c r="K1048571" s="284" t="s">
        <v>493</v>
      </c>
      <c r="L1048571" s="284">
        <f>IF(OR('Calcul des taux (formules)'!$G$55&lt;15,'Calcul des taux (formules)'!$G$55="Pas de rubannage des sentiers",'Calcul des taux (formules)'!$G$55=""),0,'Majorations applicables'!$B$26*POWER('Calcul des taux (formules)'!$G$55,'Majorations applicables'!$B$27))</f>
        <v>0</v>
      </c>
      <c r="M1048571" s="284" t="e">
        <f>SUM(H1048571:L1048571)*SUM('Calcul des taux (formules)'!$F$58)</f>
        <v>#DIV/0!</v>
      </c>
      <c r="N1048571" s="284" t="e">
        <f t="shared" si="0"/>
        <v>#DIV/0!</v>
      </c>
    </row>
    <row r="1048572" spans="1:14" ht="43.2" x14ac:dyDescent="0.3">
      <c r="A1048572" s="282" t="s">
        <v>203</v>
      </c>
      <c r="B1048572" s="285" t="s">
        <v>419</v>
      </c>
      <c r="C1048572" s="282">
        <v>10.847</v>
      </c>
      <c r="D1048572" s="282">
        <v>-0.52600000000000002</v>
      </c>
      <c r="E1048572" s="282">
        <v>6.4059999999999997</v>
      </c>
      <c r="F1048572" s="282">
        <v>-0.56299999999999994</v>
      </c>
      <c r="G1048572" s="282">
        <v>0.43</v>
      </c>
      <c r="H1048572" s="284" t="e">
        <f>(H1048569+(C1048572*POWER('Calcul des taux (formules)'!$G$35,D1048572))-(E1048572*POWER('Calcul des taux (formules)'!$G$34,F1048572))-G1048572)*'Calcul des taux (formules)'!$G$33</f>
        <v>#DIV/0!</v>
      </c>
      <c r="I1048572" s="284" t="e">
        <f>(H1048572*(-'Calcul des taux (formules)'!$G$40))</f>
        <v>#DIV/0!</v>
      </c>
      <c r="J1048572" s="284">
        <f>IF(AND('Calcul des taux (formules)'!$G$47&gt;0,OR('Calcul des taux (formules)'!$G$48&gt;0,'Calcul des taux (formules)'!$G$49&gt;0)),(-('Majorations applicables'!$B$19*POWER('Calcul des taux (formules)'!$G$43,'Majorations applicables'!$B$20)-('Majorations applicables'!$B$21*'Calcul des taux (formules)'!$G$43)+1)*(H1048572+I1048572)),IF(AND('Calcul des taux (formules)'!$G$47&gt;0,OR('Calcul des taux (formules)'!$G$48=0,'Calcul des taux (formules)'!$G$49=0)),(-('Majorations applicables'!$B$19*POWER('Calcul des taux (formules)'!$G$43,'Majorations applicables'!$B$20)-('Majorations applicables'!$B$21*'Calcul des taux (formules)'!$G$43)+1)*(H1048572+I1048572)),0))</f>
        <v>0</v>
      </c>
      <c r="K1048572" s="284" t="s">
        <v>493</v>
      </c>
      <c r="L1048572" s="284">
        <f>IF(OR('Calcul des taux (formules)'!$G$55&lt;15,'Calcul des taux (formules)'!$G$55="Pas de rubannage des sentiers",'Calcul des taux (formules)'!$G$55=""),0,'Majorations applicables'!$B$26*POWER('Calcul des taux (formules)'!$G$55,'Majorations applicables'!$B$27))</f>
        <v>0</v>
      </c>
      <c r="M1048572" s="284" t="e">
        <f>SUM(H1048572:L1048572)*SUM('Calcul des taux (formules)'!$F$58)</f>
        <v>#DIV/0!</v>
      </c>
      <c r="N1048572" s="284" t="e">
        <f t="shared" si="0"/>
        <v>#DIV/0!</v>
      </c>
    </row>
    <row r="1048573" spans="1:14" ht="43.2" x14ac:dyDescent="0.3">
      <c r="A1048573" s="282" t="s">
        <v>8</v>
      </c>
      <c r="B1048573" s="285" t="s">
        <v>592</v>
      </c>
      <c r="C1048573" s="282">
        <v>10.523</v>
      </c>
      <c r="D1048573" s="282">
        <v>-0.53500000000000003</v>
      </c>
      <c r="E1048573" s="282">
        <v>6.4059999999999997</v>
      </c>
      <c r="F1048573" s="282">
        <v>-0.56299999999999994</v>
      </c>
      <c r="G1048573" s="282">
        <v>0.43</v>
      </c>
      <c r="H1048573" s="284" t="e">
        <f>(H1048569+(C1048573*POWER('Calcul des taux (formules)'!$G$35,D1048573))-(E1048573*POWER('Calcul des taux (formules)'!$G$34,F1048573))-G1048573)*'Calcul des taux (formules)'!$G$33</f>
        <v>#DIV/0!</v>
      </c>
      <c r="I1048573" s="284" t="e">
        <f>(H1048573*(-'Calcul des taux (formules)'!$G$40))</f>
        <v>#DIV/0!</v>
      </c>
      <c r="J1048573" s="284">
        <f>IF(AND('Calcul des taux (formules)'!$G$47&gt;0,OR('Calcul des taux (formules)'!$G$48&gt;0,'Calcul des taux (formules)'!$G$49&gt;0)),(-('Majorations applicables'!$B$19*POWER('Calcul des taux (formules)'!$G$43,'Majorations applicables'!$B$20)-('Majorations applicables'!$B$21*'Calcul des taux (formules)'!$G$43)+1)*(H1048573+I1048573)),IF(AND('Calcul des taux (formules)'!$G$47&gt;0,OR('Calcul des taux (formules)'!$G$48=0,'Calcul des taux (formules)'!$G$49=0)),(-('Majorations applicables'!$B$19*POWER('Calcul des taux (formules)'!$G$43,'Majorations applicables'!$B$20)-('Majorations applicables'!$B$21*'Calcul des taux (formules)'!$G$43)+1)*(H1048573+I1048573)),0))</f>
        <v>0</v>
      </c>
      <c r="K1048573" s="284" t="s">
        <v>493</v>
      </c>
      <c r="L1048573" s="284">
        <f>IF(OR('Calcul des taux (formules)'!$G$55&lt;15,'Calcul des taux (formules)'!$G$55="Pas de rubannage des sentiers",'Calcul des taux (formules)'!$G$55=""),0,'Majorations applicables'!$B$26*POWER('Calcul des taux (formules)'!$G$55,'Majorations applicables'!$B$27))</f>
        <v>0</v>
      </c>
      <c r="M1048573" s="284" t="e">
        <f>SUM(H1048573:L1048573)*SUM('Calcul des taux (formules)'!$F$58)</f>
        <v>#DIV/0!</v>
      </c>
      <c r="N1048573" s="284" t="e">
        <f t="shared" si="0"/>
        <v>#DIV/0!</v>
      </c>
    </row>
    <row r="1048574" spans="1:14" ht="43.2" x14ac:dyDescent="0.3">
      <c r="A1048574" s="282" t="s">
        <v>204</v>
      </c>
      <c r="B1048574" s="285" t="s">
        <v>420</v>
      </c>
      <c r="C1048574" s="282">
        <v>7.5380000000000003</v>
      </c>
      <c r="D1048574" s="282">
        <v>-0.53400000000000003</v>
      </c>
      <c r="E1048574" s="282">
        <v>6.2270000000000003</v>
      </c>
      <c r="F1048574" s="282">
        <v>-0.56399999999999995</v>
      </c>
      <c r="G1048574" s="282"/>
      <c r="H1048574" s="284" t="e">
        <f>(H1048569+(C1048574*POWER('Calcul des taux (formules)'!$G$35,D1048574))-(E1048574*POWER('Calcul des taux (formules)'!$G$34,F1048574)))*'Calcul des taux (formules)'!$G$33</f>
        <v>#DIV/0!</v>
      </c>
      <c r="I1048574" s="284" t="e">
        <f>(H1048574*(-'Calcul des taux (formules)'!$G$40))</f>
        <v>#DIV/0!</v>
      </c>
      <c r="J1048574" s="284">
        <f>IF(AND('Calcul des taux (formules)'!$G$47&gt;0,OR('Calcul des taux (formules)'!$G$48&gt;0,'Calcul des taux (formules)'!$G$49&gt;0)),(-('Majorations applicables'!$B$19*POWER('Calcul des taux (formules)'!$G$43,'Majorations applicables'!$B$20)-('Majorations applicables'!$B$21*'Calcul des taux (formules)'!$G$43)+1)*(H1048574+I1048574)),IF(AND('Calcul des taux (formules)'!$G$47&gt;0,OR('Calcul des taux (formules)'!$G$48=0,'Calcul des taux (formules)'!$G$49=0)),(-('Majorations applicables'!$B$19*POWER('Calcul des taux (formules)'!$G$43,'Majorations applicables'!$B$20)-('Majorations applicables'!$B$21*'Calcul des taux (formules)'!$G$43)+1)*(H1048574+I1048574)),0))</f>
        <v>0</v>
      </c>
      <c r="K1048574" s="284" t="s">
        <v>493</v>
      </c>
      <c r="L1048574" s="284" t="s">
        <v>493</v>
      </c>
      <c r="M1048574" s="284" t="e">
        <f>SUM(H1048574:L1048574)*SUM('Calcul des taux (formules)'!$F$58)</f>
        <v>#DIV/0!</v>
      </c>
      <c r="N1048574" s="284" t="e">
        <f t="shared" si="0"/>
        <v>#DIV/0!</v>
      </c>
    </row>
    <row r="1048575" spans="1:14" ht="43.2" x14ac:dyDescent="0.3">
      <c r="A1048575" s="282" t="s">
        <v>205</v>
      </c>
      <c r="B1048575" s="285" t="s">
        <v>421</v>
      </c>
      <c r="C1048575" s="282">
        <v>7.3879999999999999</v>
      </c>
      <c r="D1048575" s="282">
        <v>-0.64300000000000002</v>
      </c>
      <c r="E1048575" s="282">
        <v>6.2270000000000003</v>
      </c>
      <c r="F1048575" s="282">
        <v>-0.56399999999999995</v>
      </c>
      <c r="G1048575" s="282"/>
      <c r="H1048575" s="284" t="e">
        <f>(H1048569+(C1048575*POWER('Calcul des taux (formules)'!$G$35,D1048575))-(E1048575*POWER('Calcul des taux (formules)'!$G$34,F1048575)))*'Calcul des taux (formules)'!$G$33</f>
        <v>#DIV/0!</v>
      </c>
      <c r="I1048575" s="284" t="e">
        <f>(H1048575*(-'Calcul des taux (formules)'!$G$40))</f>
        <v>#DIV/0!</v>
      </c>
      <c r="J1048575" s="284">
        <f>IF(AND('Calcul des taux (formules)'!$G$47&gt;0,OR('Calcul des taux (formules)'!$G$48&gt;0,'Calcul des taux (formules)'!$G$49&gt;0)),(-('Majorations applicables'!$B$19*POWER('Calcul des taux (formules)'!$G$43,'Majorations applicables'!$B$20)-('Majorations applicables'!$B$21*'Calcul des taux (formules)'!$G$43)+1)*(H1048575+I1048575)),IF(AND('Calcul des taux (formules)'!$G$47&gt;0,OR('Calcul des taux (formules)'!$G$48=0,'Calcul des taux (formules)'!$G$49=0)),(-('Majorations applicables'!$B$19*POWER('Calcul des taux (formules)'!$G$43,'Majorations applicables'!$B$20)-('Majorations applicables'!$B$21*'Calcul des taux (formules)'!$G$43)+1)*(H1048575+I1048575)),0))</f>
        <v>0</v>
      </c>
      <c r="K1048575" s="284" t="s">
        <v>493</v>
      </c>
      <c r="L1048575" s="284">
        <f>IF(OR('Calcul des taux (formules)'!$G$55&lt;15,'Calcul des taux (formules)'!$G$55="Pas de rubannage des sentiers",'Calcul des taux (formules)'!$G$55=""),0,'Majorations applicables'!$B$26*POWER('Calcul des taux (formules)'!$G$55,'Majorations applicables'!$B$27))</f>
        <v>0</v>
      </c>
      <c r="M1048575" s="284" t="e">
        <f>SUM(H1048575:L1048575)*SUM('Calcul des taux (formules)'!$F$58)</f>
        <v>#DIV/0!</v>
      </c>
      <c r="N1048575" s="284" t="e">
        <f t="shared" si="0"/>
        <v>#DIV/0!</v>
      </c>
    </row>
    <row r="1048576" spans="1:14" ht="43.8" thickBot="1" x14ac:dyDescent="0.35">
      <c r="A1048576" s="287" t="s">
        <v>404</v>
      </c>
      <c r="B1048576" s="288" t="s">
        <v>481</v>
      </c>
      <c r="C1048576" s="289"/>
      <c r="D1048576" s="289"/>
      <c r="E1048576" s="289"/>
      <c r="F1048576" s="289"/>
      <c r="G1048576" s="289"/>
      <c r="H1048576" s="290"/>
      <c r="I1048576" s="290"/>
      <c r="J1048576" s="290"/>
      <c r="K1048576" s="290"/>
      <c r="L1048576" s="290"/>
      <c r="M1048576" s="290"/>
      <c r="N1048576" s="290"/>
    </row>
  </sheetData>
  <sheetProtection algorithmName="SHA-512" hashValue="JDtDf8sUmNgzCCq/Yu5saKrZ5U6dmzX6K3aWPbUKcrVjx/awuo7+sulIP7yEe2VuUCObBt9wrgGaRA4nn6MqIw==" saltValue="74nRHhoBOUZGHxxNf68R6A==" spinCount="100000" sheet="1" objects="1" scenarios="1" formatRows="0" selectLockedCells="1"/>
  <mergeCells count="163">
    <mergeCell ref="A43:C43"/>
    <mergeCell ref="D43:F43"/>
    <mergeCell ref="A44:G44"/>
    <mergeCell ref="A42:G42"/>
    <mergeCell ref="A151:F151"/>
    <mergeCell ref="A138:F138"/>
    <mergeCell ref="A41:G41"/>
    <mergeCell ref="A130:F130"/>
    <mergeCell ref="A131:F131"/>
    <mergeCell ref="A55:F55"/>
    <mergeCell ref="A58:E58"/>
    <mergeCell ref="A57:G57"/>
    <mergeCell ref="A56:G56"/>
    <mergeCell ref="A72:F72"/>
    <mergeCell ref="A71:F71"/>
    <mergeCell ref="A73:F73"/>
    <mergeCell ref="A74:F74"/>
    <mergeCell ref="A75:F75"/>
    <mergeCell ref="A67:F67"/>
    <mergeCell ref="A126:F126"/>
    <mergeCell ref="A129:F129"/>
    <mergeCell ref="A68:G68"/>
    <mergeCell ref="A125:F125"/>
    <mergeCell ref="A127:F127"/>
    <mergeCell ref="A128:F128"/>
    <mergeCell ref="A54:G54"/>
    <mergeCell ref="A148:F148"/>
    <mergeCell ref="A149:F150"/>
    <mergeCell ref="A26:G26"/>
    <mergeCell ref="A28:G28"/>
    <mergeCell ref="E61:F61"/>
    <mergeCell ref="E62:F62"/>
    <mergeCell ref="A59:G59"/>
    <mergeCell ref="A61:B61"/>
    <mergeCell ref="A62:B62"/>
    <mergeCell ref="A36:G36"/>
    <mergeCell ref="A60:G60"/>
    <mergeCell ref="C61:D61"/>
    <mergeCell ref="C62:D62"/>
    <mergeCell ref="A33:F33"/>
    <mergeCell ref="A49:F49"/>
    <mergeCell ref="A39:G39"/>
    <mergeCell ref="A47:F47"/>
    <mergeCell ref="A34:F34"/>
    <mergeCell ref="A32:E32"/>
    <mergeCell ref="A46:G46"/>
    <mergeCell ref="A48:F48"/>
    <mergeCell ref="A51:G51"/>
    <mergeCell ref="A50:G50"/>
    <mergeCell ref="A52:D52"/>
    <mergeCell ref="A45:G45"/>
    <mergeCell ref="A1:G1"/>
    <mergeCell ref="A3:G3"/>
    <mergeCell ref="A4:G4"/>
    <mergeCell ref="A5:F5"/>
    <mergeCell ref="A18:G18"/>
    <mergeCell ref="A20:G20"/>
    <mergeCell ref="A22:G22"/>
    <mergeCell ref="A24:G24"/>
    <mergeCell ref="A11:G11"/>
    <mergeCell ref="A14:G14"/>
    <mergeCell ref="A12:E12"/>
    <mergeCell ref="A19:G19"/>
    <mergeCell ref="A13:G13"/>
    <mergeCell ref="A15:G15"/>
    <mergeCell ref="A16:G16"/>
    <mergeCell ref="A17:G17"/>
    <mergeCell ref="A6:F6"/>
    <mergeCell ref="A7:F7"/>
    <mergeCell ref="A8:F8"/>
    <mergeCell ref="A9:F9"/>
    <mergeCell ref="A10:F10"/>
    <mergeCell ref="A21:G21"/>
    <mergeCell ref="A23:G23"/>
    <mergeCell ref="A2:E2"/>
    <mergeCell ref="A25:G25"/>
    <mergeCell ref="A27:G27"/>
    <mergeCell ref="A29:G29"/>
    <mergeCell ref="A38:G38"/>
    <mergeCell ref="A144:G144"/>
    <mergeCell ref="A82:F82"/>
    <mergeCell ref="A83:G83"/>
    <mergeCell ref="A84:F84"/>
    <mergeCell ref="A31:G31"/>
    <mergeCell ref="A69:G69"/>
    <mergeCell ref="A37:G37"/>
    <mergeCell ref="E65:F65"/>
    <mergeCell ref="E66:F66"/>
    <mergeCell ref="A40:F40"/>
    <mergeCell ref="A63:B63"/>
    <mergeCell ref="A64:B64"/>
    <mergeCell ref="A65:B65"/>
    <mergeCell ref="A66:B66"/>
    <mergeCell ref="C63:D63"/>
    <mergeCell ref="C64:D64"/>
    <mergeCell ref="A35:F35"/>
    <mergeCell ref="A30:G30"/>
    <mergeCell ref="C65:D65"/>
    <mergeCell ref="C66:D66"/>
    <mergeCell ref="G149:G150"/>
    <mergeCell ref="A139:G139"/>
    <mergeCell ref="A140:F140"/>
    <mergeCell ref="A141:F141"/>
    <mergeCell ref="A142:F142"/>
    <mergeCell ref="A143:G143"/>
    <mergeCell ref="A132:F132"/>
    <mergeCell ref="A133:F133"/>
    <mergeCell ref="A134:F134"/>
    <mergeCell ref="A135:F135"/>
    <mergeCell ref="A136:F136"/>
    <mergeCell ref="A137:F137"/>
    <mergeCell ref="A102:F102"/>
    <mergeCell ref="A103:F103"/>
    <mergeCell ref="A91:F91"/>
    <mergeCell ref="A92:F92"/>
    <mergeCell ref="A99:F99"/>
    <mergeCell ref="A116:F116"/>
    <mergeCell ref="A118:F118"/>
    <mergeCell ref="A115:F115"/>
    <mergeCell ref="A117:F117"/>
    <mergeCell ref="E63:F63"/>
    <mergeCell ref="E64:F64"/>
    <mergeCell ref="A53:G53"/>
    <mergeCell ref="A70:F70"/>
    <mergeCell ref="A145:F147"/>
    <mergeCell ref="G145:G147"/>
    <mergeCell ref="A124:G124"/>
    <mergeCell ref="A122:F122"/>
    <mergeCell ref="A123:F123"/>
    <mergeCell ref="A106:F106"/>
    <mergeCell ref="A107:F107"/>
    <mergeCell ref="A111:F111"/>
    <mergeCell ref="A112:F112"/>
    <mergeCell ref="A87:G87"/>
    <mergeCell ref="A90:F90"/>
    <mergeCell ref="A119:F119"/>
    <mergeCell ref="A120:G120"/>
    <mergeCell ref="A121:F121"/>
    <mergeCell ref="A108:F108"/>
    <mergeCell ref="A110:F110"/>
    <mergeCell ref="A114:F114"/>
    <mergeCell ref="A100:G100"/>
    <mergeCell ref="A101:F101"/>
    <mergeCell ref="A113:F113"/>
    <mergeCell ref="A96:F96"/>
    <mergeCell ref="A97:F97"/>
    <mergeCell ref="A98:F98"/>
    <mergeCell ref="A104:G104"/>
    <mergeCell ref="A105:F105"/>
    <mergeCell ref="A109:F109"/>
    <mergeCell ref="A76:F76"/>
    <mergeCell ref="A77:F77"/>
    <mergeCell ref="A78:F78"/>
    <mergeCell ref="A79:F79"/>
    <mergeCell ref="A80:F80"/>
    <mergeCell ref="A81:F81"/>
    <mergeCell ref="A93:F93"/>
    <mergeCell ref="A94:F94"/>
    <mergeCell ref="A95:F95"/>
    <mergeCell ref="A85:F85"/>
    <mergeCell ref="A86:F86"/>
    <mergeCell ref="A88:F88"/>
    <mergeCell ref="A89:F89"/>
  </mergeCells>
  <conditionalFormatting sqref="G107">
    <cfRule type="expression" dxfId="2" priority="2">
      <formula>$G$107="Valeurs BNT1 (BP-BE-ZNT) non valides"</formula>
    </cfRule>
  </conditionalFormatting>
  <conditionalFormatting sqref="G127">
    <cfRule type="expression" dxfId="1" priority="1">
      <formula>$G$107="Valeurs BNT1 (BP-BE-ZNT) non valides"</formula>
    </cfRule>
  </conditionalFormatting>
  <dataValidations xWindow="1032" yWindow="771" count="17">
    <dataValidation type="list" allowBlank="1" showInputMessage="1" showErrorMessage="1" errorTitle="Validation «UAF»" error="La valeur inscrite ne correspond pas aux valeurs pré-établies" sqref="G5">
      <formula1>UA</formula1>
    </dataValidation>
    <dataValidation type="decimal" allowBlank="1" showInputMessage="1" showErrorMessage="1" errorTitle="Validation «VMT à récolter»" error="Volume en m3/tige" sqref="G35">
      <formula1>0</formula1>
      <formula2>3</formula2>
    </dataValidation>
    <dataValidation type="decimal" allowBlank="1" showInputMessage="1" showErrorMessage="1" errorTitle="Validation «EMR1»" error="Inscrire une valeur située entre 0% et 50% inclusivement." sqref="G40">
      <formula1>0</formula1>
      <formula2>0.5</formula2>
    </dataValidation>
    <dataValidation type="decimal" allowBlank="1" showInputMessage="1" showErrorMessage="1" errorTitle="Validationb «ZNT»" error="Champ numérique positif_x000a_" sqref="G49">
      <formula1>0</formula1>
      <formula2>9999</formula2>
    </dataValidation>
    <dataValidation type="decimal" allowBlank="1" showInputMessage="1" showErrorMessage="1" errorTitle="Validation «VMT Peuplement»" error="Champ numérique positif" sqref="G34">
      <formula1>0</formula1>
      <formula2>4</formula2>
    </dataValidation>
    <dataValidation type="decimal" allowBlank="1" showInputMessage="1" showErrorMessage="1" errorTitle="Validation «Superficie»" error="Champ numérique positif" sqref="G62:G66">
      <formula1>0</formula1>
      <formula2>9999</formula2>
    </dataValidation>
    <dataValidation type="list" allowBlank="1" showInputMessage="1" showErrorMessage="1" errorTitle="Validation «H1»" error="La valeur inscrite ne correspond pas aux valeurs pré-établies" sqref="G58">
      <formula1>Majoration_H1</formula1>
    </dataValidation>
    <dataValidation type="list" errorStyle="information" allowBlank="1" showInputMessage="1" showErrorMessage="1" errorTitle="Validation «RUB1»" error="La valeur inscrite doit être supérieure ou égale à 15m pour être éligible à une majoration. Il est possible d'inscrire la valeur de votre choix si elle ne se retrouve pas dans le menu déroulant." sqref="G55">
      <formula1>Majoration_RUB</formula1>
    </dataValidation>
    <dataValidation type="list" errorStyle="information" allowBlank="1" showInputMessage="1" showErrorMessage="1" errorTitle="Validation «Code DICA»" error="Il est possible de saisir le code DICA de votre choix s'il ne se retrouve pas dans le menu déroulant. Vous devrez toutefois choisir la formule à utiliser parmi l'ensemble des formules proposées." promptTitle="Code DICA" prompt="Il est possible de saisir le code DICA de votre choix s'il ne se retrouve pas dans le menu déroulant." sqref="G9">
      <formula1>Codes_DICA</formula1>
    </dataValidation>
    <dataValidation type="list" errorStyle="information" allowBlank="1" showInputMessage="1" showErrorMessage="1" errorTitle="Validation «Code RATF»" error="Il est possible de saisir le code RATF de votre choix s'il ne se retrouve pas dans le menu déroulant." promptTitle="Code RATF" prompt="Il est possible de saisir le code RATF de votre choix s'il ne se retrouve pas dans le menu déroulant.  Il n'y a aucune validation de cohérence entre le code DICA et le code RATF à l'intérieur de ce fichier." sqref="G10">
      <formula1>Codes_RATF</formula1>
    </dataValidation>
    <dataValidation type="list" allowBlank="1" showInputMessage="1" showErrorMessage="1" errorTitle="Validation «Sélection des tiges»" error="La valeur inscrite ne correspond pas aux valeurs pré-établies." sqref="G32">
      <formula1>INDIRECT(F32)</formula1>
    </dataValidation>
    <dataValidation type="decimal" allowBlank="1" showInputMessage="1" showErrorMessage="1" errorTitle="Validation «Volume à prélever»" error="Champ numérique positif" sqref="G33">
      <formula1>0</formula1>
      <formula2>9999</formula2>
    </dataValidation>
    <dataValidation type="list" allowBlank="1" showInputMessage="1" showErrorMessage="1" errorTitle="Validation «MAN»" error="La valeur inscrite ne correspond pas aux valeurs pré-établies" sqref="G52">
      <formula1>INDIRECT(E52)</formula1>
    </dataValidation>
    <dataValidation type="list" allowBlank="1" showInputMessage="1" showErrorMessage="1" errorTitle="Validation «Formules»" error="La valeur inscrite ne correspond pas aux valeurs pré-établies" promptTitle="Information" prompt="Afin d'inscrire la bonne formule à utiliser, vous pouvez consulter l'onglet «Traitements admissibles»." sqref="G12">
      <formula1>INDIRECT(F12)</formula1>
    </dataValidation>
    <dataValidation type="decimal" allowBlank="1" showInputMessage="1" showErrorMessage="1" errorTitle="Validation «BE»" error="Champ numérique positif_x000a_" sqref="G48">
      <formula1>0</formula1>
      <formula2>9999</formula2>
    </dataValidation>
    <dataValidation type="decimal" allowBlank="1" showInputMessage="1" showErrorMessage="1" errorTitle="Validation «BP»" error="Champ numérique positif_x000a_" sqref="G47">
      <formula1>0</formula1>
      <formula2>9999</formula2>
    </dataValidation>
    <dataValidation allowBlank="1" showInputMessage="1" showErrorMessage="1" promptTitle="Information" prompt="La date du jour est inscrite. Il est toutefois possible de modifier la valeur." sqref="G149:G150"/>
  </dataValidations>
  <printOptions horizontalCentered="1"/>
  <pageMargins left="0.31496062992125984" right="0.31496062992125984" top="0.55118110236220474" bottom="0.55118110236220474" header="0.31496062992125984" footer="0.31496062992125984"/>
  <pageSetup paperSize="5" scale="37" orientation="portrait" r:id="rId1"/>
  <headerFooter>
    <oddHeader>&amp;CVersion 2 : 2017-04-27</oddHeader>
    <oddFooter>&amp;L&amp;A&amp;R&amp;P de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Formules_effacervaleurcellules_couleur_blanc">
                <anchor moveWithCells="1">
                  <from>
                    <xdr:col>7</xdr:col>
                    <xdr:colOff>701040</xdr:colOff>
                    <xdr:row>1</xdr:row>
                    <xdr:rowOff>464820</xdr:rowOff>
                  </from>
                  <to>
                    <xdr:col>8</xdr:col>
                    <xdr:colOff>861060</xdr:colOff>
                    <xdr:row>1</xdr:row>
                    <xdr:rowOff>1104900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>
    <pageSetUpPr fitToPage="1"/>
  </sheetPr>
  <dimension ref="A1:DA188"/>
  <sheetViews>
    <sheetView zoomScale="99" zoomScaleNormal="99" workbookViewId="0">
      <selection activeCell="G5" sqref="G5"/>
    </sheetView>
  </sheetViews>
  <sheetFormatPr baseColWidth="10" defaultColWidth="11.5546875" defaultRowHeight="14.4" x14ac:dyDescent="0.3"/>
  <cols>
    <col min="1" max="4" width="11.77734375" style="36" customWidth="1"/>
    <col min="5" max="5" width="12.77734375" style="37" customWidth="1"/>
    <col min="6" max="6" width="12.77734375" style="43" customWidth="1"/>
    <col min="7" max="7" width="40.109375" style="43" customWidth="1"/>
    <col min="8" max="101" width="11.5546875" style="36" customWidth="1"/>
    <col min="102" max="103" width="11.5546875" style="36" hidden="1" customWidth="1"/>
    <col min="104" max="104" width="11.5546875" style="37" hidden="1" customWidth="1"/>
    <col min="105" max="105" width="11.5546875" style="36" hidden="1" customWidth="1"/>
    <col min="106" max="16384" width="11.5546875" style="36"/>
  </cols>
  <sheetData>
    <row r="1" spans="1:105" ht="9" customHeight="1" thickBot="1" x14ac:dyDescent="0.35">
      <c r="A1" s="411"/>
      <c r="B1" s="412"/>
      <c r="C1" s="412"/>
      <c r="D1" s="412"/>
      <c r="E1" s="359"/>
      <c r="F1" s="412"/>
      <c r="G1" s="413"/>
    </row>
    <row r="2" spans="1:105" s="39" customFormat="1" ht="117" customHeight="1" thickBot="1" x14ac:dyDescent="0.35">
      <c r="A2" s="418" t="s">
        <v>589</v>
      </c>
      <c r="B2" s="419"/>
      <c r="C2" s="419"/>
      <c r="D2" s="419"/>
      <c r="E2" s="420"/>
      <c r="F2" s="62"/>
      <c r="G2" s="38"/>
      <c r="I2" s="133"/>
      <c r="J2" s="133"/>
      <c r="CZ2" s="40"/>
    </row>
    <row r="3" spans="1:105" ht="16.2" customHeight="1" thickBot="1" x14ac:dyDescent="0.35">
      <c r="A3" s="414" t="s">
        <v>553</v>
      </c>
      <c r="B3" s="415"/>
      <c r="C3" s="415"/>
      <c r="D3" s="415"/>
      <c r="E3" s="416"/>
      <c r="F3" s="415"/>
      <c r="G3" s="417"/>
    </row>
    <row r="4" spans="1:105" ht="19.95" customHeight="1" thickBot="1" x14ac:dyDescent="0.35">
      <c r="A4" s="400" t="s">
        <v>0</v>
      </c>
      <c r="B4" s="401"/>
      <c r="C4" s="401"/>
      <c r="D4" s="401"/>
      <c r="E4" s="401"/>
      <c r="F4" s="401"/>
      <c r="G4" s="402"/>
      <c r="CX4" s="36" t="s">
        <v>1</v>
      </c>
      <c r="CY4" s="41" t="s">
        <v>513</v>
      </c>
      <c r="CZ4" s="37" t="s">
        <v>514</v>
      </c>
      <c r="DA4" s="36" t="s">
        <v>515</v>
      </c>
    </row>
    <row r="5" spans="1:105" ht="15.6" customHeight="1" thickBot="1" x14ac:dyDescent="0.35">
      <c r="A5" s="303" t="s">
        <v>664</v>
      </c>
      <c r="B5" s="304"/>
      <c r="C5" s="304"/>
      <c r="D5" s="304"/>
      <c r="E5" s="304"/>
      <c r="F5" s="305"/>
      <c r="G5" s="137"/>
      <c r="CY5" s="41"/>
      <c r="DA5" s="36" t="s">
        <v>516</v>
      </c>
    </row>
    <row r="6" spans="1:105" s="42" customFormat="1" ht="15" thickBot="1" x14ac:dyDescent="0.35">
      <c r="A6" s="303" t="s">
        <v>186</v>
      </c>
      <c r="B6" s="304"/>
      <c r="C6" s="304"/>
      <c r="D6" s="304"/>
      <c r="E6" s="304"/>
      <c r="F6" s="305"/>
      <c r="G6" s="138"/>
      <c r="CX6" s="43" t="s">
        <v>12</v>
      </c>
      <c r="CY6" s="41">
        <v>151</v>
      </c>
      <c r="CZ6" s="44">
        <v>0</v>
      </c>
      <c r="DA6" s="36"/>
    </row>
    <row r="7" spans="1:105" ht="15" thickBot="1" x14ac:dyDescent="0.35">
      <c r="A7" s="303" t="s">
        <v>187</v>
      </c>
      <c r="B7" s="304"/>
      <c r="C7" s="304"/>
      <c r="D7" s="304"/>
      <c r="E7" s="304"/>
      <c r="F7" s="305"/>
      <c r="G7" s="138"/>
      <c r="I7" s="42"/>
      <c r="CX7" s="36" t="s">
        <v>11</v>
      </c>
      <c r="CY7" s="41">
        <v>152</v>
      </c>
      <c r="CZ7" s="44">
        <v>0</v>
      </c>
    </row>
    <row r="8" spans="1:105" ht="15" thickBot="1" x14ac:dyDescent="0.35">
      <c r="A8" s="303" t="s">
        <v>188</v>
      </c>
      <c r="B8" s="304"/>
      <c r="C8" s="304"/>
      <c r="D8" s="304"/>
      <c r="E8" s="304"/>
      <c r="F8" s="305"/>
      <c r="G8" s="138"/>
      <c r="I8" s="42"/>
      <c r="CX8" s="36" t="s">
        <v>13</v>
      </c>
      <c r="CY8" s="41">
        <v>153</v>
      </c>
      <c r="CZ8" s="44">
        <v>0</v>
      </c>
    </row>
    <row r="9" spans="1:105" ht="15.6" customHeight="1" thickBot="1" x14ac:dyDescent="0.35">
      <c r="A9" s="303" t="s">
        <v>522</v>
      </c>
      <c r="B9" s="304"/>
      <c r="C9" s="304"/>
      <c r="D9" s="304"/>
      <c r="E9" s="304"/>
      <c r="F9" s="305"/>
      <c r="G9" s="136"/>
      <c r="I9" s="42"/>
      <c r="CX9" s="36" t="s">
        <v>14</v>
      </c>
      <c r="CY9" s="41">
        <v>154</v>
      </c>
      <c r="CZ9" s="44">
        <v>0</v>
      </c>
    </row>
    <row r="10" spans="1:105" ht="15.6" customHeight="1" thickBot="1" x14ac:dyDescent="0.35">
      <c r="A10" s="303" t="s">
        <v>190</v>
      </c>
      <c r="B10" s="304"/>
      <c r="C10" s="304"/>
      <c r="D10" s="304"/>
      <c r="E10" s="304"/>
      <c r="F10" s="305"/>
      <c r="G10" s="136"/>
      <c r="I10" s="42"/>
      <c r="CY10" s="41"/>
      <c r="CZ10" s="44"/>
    </row>
    <row r="11" spans="1:105" ht="19.95" customHeight="1" thickBot="1" x14ac:dyDescent="0.35">
      <c r="A11" s="400" t="s">
        <v>517</v>
      </c>
      <c r="B11" s="401"/>
      <c r="C11" s="401"/>
      <c r="D11" s="401"/>
      <c r="E11" s="401"/>
      <c r="F11" s="401"/>
      <c r="G11" s="402"/>
      <c r="CX11" s="36" t="s">
        <v>15</v>
      </c>
      <c r="CY11" s="41">
        <v>155</v>
      </c>
      <c r="CZ11" s="44">
        <v>0</v>
      </c>
    </row>
    <row r="12" spans="1:105" ht="15.6" customHeight="1" thickBot="1" x14ac:dyDescent="0.35">
      <c r="A12" s="303" t="s">
        <v>673</v>
      </c>
      <c r="B12" s="304"/>
      <c r="C12" s="304"/>
      <c r="D12" s="304"/>
      <c r="E12" s="304"/>
      <c r="F12" s="305"/>
      <c r="G12" s="68"/>
      <c r="CX12" s="36" t="s">
        <v>16</v>
      </c>
      <c r="CY12" s="41">
        <v>156</v>
      </c>
      <c r="CZ12" s="44">
        <v>0</v>
      </c>
    </row>
    <row r="13" spans="1:105" ht="15.6" customHeight="1" thickBot="1" x14ac:dyDescent="0.35">
      <c r="A13" s="403" t="s">
        <v>551</v>
      </c>
      <c r="B13" s="404"/>
      <c r="C13" s="404"/>
      <c r="D13" s="404"/>
      <c r="E13" s="404"/>
      <c r="F13" s="405"/>
      <c r="G13" s="68"/>
      <c r="CX13" s="36" t="s">
        <v>17</v>
      </c>
      <c r="CY13" s="41">
        <v>157</v>
      </c>
      <c r="CZ13" s="44">
        <v>0</v>
      </c>
    </row>
    <row r="14" spans="1:105" ht="15.6" customHeight="1" thickBot="1" x14ac:dyDescent="0.35">
      <c r="A14" s="403" t="s">
        <v>526</v>
      </c>
      <c r="B14" s="404"/>
      <c r="C14" s="404"/>
      <c r="D14" s="404"/>
      <c r="E14" s="404"/>
      <c r="F14" s="405"/>
      <c r="G14" s="68"/>
      <c r="CX14" s="36" t="s">
        <v>18</v>
      </c>
      <c r="CY14" s="41">
        <v>158</v>
      </c>
      <c r="CZ14" s="44">
        <v>0</v>
      </c>
    </row>
    <row r="15" spans="1:105" ht="15.6" customHeight="1" thickBot="1" x14ac:dyDescent="0.35">
      <c r="A15" s="409" t="s">
        <v>527</v>
      </c>
      <c r="B15" s="410"/>
      <c r="C15" s="410"/>
      <c r="D15" s="410"/>
      <c r="E15" s="410"/>
      <c r="F15" s="405"/>
      <c r="G15" s="55"/>
      <c r="CX15" s="36" t="s">
        <v>19</v>
      </c>
      <c r="CY15" s="41">
        <v>180</v>
      </c>
      <c r="CZ15" s="44">
        <v>0</v>
      </c>
    </row>
    <row r="16" spans="1:105" ht="15.6" customHeight="1" thickBot="1" x14ac:dyDescent="0.35">
      <c r="A16" s="409" t="s">
        <v>528</v>
      </c>
      <c r="B16" s="410"/>
      <c r="C16" s="410"/>
      <c r="D16" s="410"/>
      <c r="E16" s="410"/>
      <c r="F16" s="405"/>
      <c r="G16" s="56"/>
      <c r="CX16" s="36" t="s">
        <v>20</v>
      </c>
      <c r="CY16" s="41">
        <v>181</v>
      </c>
      <c r="CZ16" s="44">
        <v>80</v>
      </c>
    </row>
    <row r="17" spans="1:104" ht="19.95" customHeight="1" thickBot="1" x14ac:dyDescent="0.35">
      <c r="A17" s="406" t="s">
        <v>518</v>
      </c>
      <c r="B17" s="407"/>
      <c r="C17" s="407"/>
      <c r="D17" s="407"/>
      <c r="E17" s="407"/>
      <c r="F17" s="407"/>
      <c r="G17" s="408"/>
      <c r="CX17" s="36" t="s">
        <v>21</v>
      </c>
      <c r="CY17" s="41">
        <v>182</v>
      </c>
      <c r="CZ17" s="44">
        <v>0</v>
      </c>
    </row>
    <row r="18" spans="1:104" ht="22.95" customHeight="1" thickBot="1" x14ac:dyDescent="0.35">
      <c r="A18" s="391" t="s">
        <v>658</v>
      </c>
      <c r="B18" s="392"/>
      <c r="C18" s="393"/>
      <c r="D18" s="350" t="s">
        <v>529</v>
      </c>
      <c r="E18" s="351"/>
      <c r="F18" s="352"/>
      <c r="G18" s="52"/>
      <c r="CX18" s="36" t="s">
        <v>23</v>
      </c>
      <c r="CY18" s="41">
        <v>184</v>
      </c>
      <c r="CZ18" s="44">
        <v>200</v>
      </c>
    </row>
    <row r="19" spans="1:104" ht="22.95" customHeight="1" thickBot="1" x14ac:dyDescent="0.35">
      <c r="A19" s="394"/>
      <c r="B19" s="395"/>
      <c r="C19" s="396"/>
      <c r="D19" s="397" t="s">
        <v>530</v>
      </c>
      <c r="E19" s="398"/>
      <c r="F19" s="399"/>
      <c r="G19" s="51"/>
      <c r="CX19" s="36" t="s">
        <v>24</v>
      </c>
      <c r="CY19" s="41">
        <v>185</v>
      </c>
      <c r="CZ19" s="44">
        <v>80</v>
      </c>
    </row>
    <row r="20" spans="1:104" ht="15.6" customHeight="1" thickBot="1" x14ac:dyDescent="0.35">
      <c r="A20" s="385" t="s">
        <v>552</v>
      </c>
      <c r="B20" s="386"/>
      <c r="C20" s="386"/>
      <c r="D20" s="386"/>
      <c r="E20" s="386"/>
      <c r="F20" s="425"/>
      <c r="G20" s="53">
        <f>IFERROR((VLOOKUP(G18,Menus!A370:B555,2,FALSE)*G15*G19),0)</f>
        <v>0</v>
      </c>
      <c r="CX20" s="36" t="s">
        <v>25</v>
      </c>
      <c r="CY20" s="41">
        <v>186</v>
      </c>
      <c r="CZ20" s="44">
        <v>80</v>
      </c>
    </row>
    <row r="21" spans="1:104" ht="15.6" customHeight="1" thickBot="1" x14ac:dyDescent="0.35">
      <c r="A21" s="391" t="s">
        <v>659</v>
      </c>
      <c r="B21" s="392"/>
      <c r="C21" s="393"/>
      <c r="D21" s="350" t="s">
        <v>530</v>
      </c>
      <c r="E21" s="351"/>
      <c r="F21" s="352"/>
      <c r="G21" s="57" t="str">
        <f>IF(G19="","",1-G19)</f>
        <v/>
      </c>
      <c r="CX21" s="36" t="s">
        <v>27</v>
      </c>
      <c r="CY21" s="41">
        <v>190</v>
      </c>
      <c r="CZ21" s="44">
        <v>220</v>
      </c>
    </row>
    <row r="22" spans="1:104" ht="15" thickBot="1" x14ac:dyDescent="0.35">
      <c r="A22" s="421"/>
      <c r="B22" s="422"/>
      <c r="C22" s="423"/>
      <c r="D22" s="350" t="s">
        <v>531</v>
      </c>
      <c r="E22" s="304"/>
      <c r="F22" s="305"/>
      <c r="G22" s="60"/>
      <c r="CX22" s="36" t="s">
        <v>28</v>
      </c>
      <c r="CY22" s="41">
        <v>191</v>
      </c>
      <c r="CZ22" s="44">
        <v>220</v>
      </c>
    </row>
    <row r="23" spans="1:104" ht="15" thickBot="1" x14ac:dyDescent="0.35">
      <c r="A23" s="421"/>
      <c r="B23" s="422"/>
      <c r="C23" s="423"/>
      <c r="D23" s="350" t="s">
        <v>532</v>
      </c>
      <c r="E23" s="304"/>
      <c r="F23" s="305"/>
      <c r="G23" s="58"/>
      <c r="CX23" s="36" t="s">
        <v>29</v>
      </c>
      <c r="CY23" s="41">
        <v>192</v>
      </c>
      <c r="CZ23" s="44">
        <v>140</v>
      </c>
    </row>
    <row r="24" spans="1:104" ht="15.6" customHeight="1" thickBot="1" x14ac:dyDescent="0.35">
      <c r="A24" s="421"/>
      <c r="B24" s="422"/>
      <c r="C24" s="423"/>
      <c r="D24" s="350" t="s">
        <v>603</v>
      </c>
      <c r="E24" s="304"/>
      <c r="F24" s="305"/>
      <c r="G24" s="54"/>
      <c r="CX24" s="36" t="s">
        <v>30</v>
      </c>
      <c r="CY24" s="41">
        <v>193</v>
      </c>
      <c r="CZ24" s="44">
        <v>80</v>
      </c>
    </row>
    <row r="25" spans="1:104" ht="15.6" customHeight="1" thickBot="1" x14ac:dyDescent="0.35">
      <c r="A25" s="394"/>
      <c r="B25" s="395"/>
      <c r="C25" s="396"/>
      <c r="D25" s="350" t="s">
        <v>533</v>
      </c>
      <c r="E25" s="304"/>
      <c r="F25" s="305"/>
      <c r="G25" s="59"/>
      <c r="CX25" s="36" t="s">
        <v>31</v>
      </c>
      <c r="CY25" s="41">
        <v>194</v>
      </c>
      <c r="CZ25" s="44">
        <v>20</v>
      </c>
    </row>
    <row r="26" spans="1:104" ht="15.6" customHeight="1" thickBot="1" x14ac:dyDescent="0.35">
      <c r="A26" s="385" t="s">
        <v>534</v>
      </c>
      <c r="B26" s="386"/>
      <c r="C26" s="386"/>
      <c r="D26" s="386"/>
      <c r="E26" s="386"/>
      <c r="F26" s="426"/>
      <c r="G26" s="53">
        <f>IFERROR((IF(G22="",0,IF((('Majorations applicables'!A33*G25)-'Majorations applicables'!A34)&lt;0,0,IF((('Majorations applicables'!A33*G25)-'Majorations applicables'!A34)&lt;280,(('Majorations applicables'!A33*G25)-'Majorations applicables'!A34),280))*G21)*G15),0)</f>
        <v>0</v>
      </c>
      <c r="CX26" s="36" t="s">
        <v>32</v>
      </c>
      <c r="CY26" s="41">
        <v>195</v>
      </c>
      <c r="CZ26" s="44">
        <v>0</v>
      </c>
    </row>
    <row r="27" spans="1:104" ht="15.6" customHeight="1" thickBot="1" x14ac:dyDescent="0.35">
      <c r="A27" s="311" t="s">
        <v>550</v>
      </c>
      <c r="B27" s="312"/>
      <c r="C27" s="312"/>
      <c r="D27" s="312"/>
      <c r="E27" s="312"/>
      <c r="F27" s="427"/>
      <c r="G27" s="61">
        <f>IF(AND(G12="OUI",G13="OUI",G14="OUI"),G20+G26,0)</f>
        <v>0</v>
      </c>
      <c r="CX27" s="36" t="s">
        <v>33</v>
      </c>
      <c r="CY27" s="41">
        <v>240</v>
      </c>
      <c r="CZ27" s="44">
        <v>0</v>
      </c>
    </row>
    <row r="28" spans="1:104" ht="19.95" customHeight="1" thickBot="1" x14ac:dyDescent="0.35">
      <c r="A28" s="406" t="s">
        <v>519</v>
      </c>
      <c r="B28" s="407"/>
      <c r="C28" s="407"/>
      <c r="D28" s="407"/>
      <c r="E28" s="407"/>
      <c r="F28" s="407"/>
      <c r="G28" s="408"/>
      <c r="CX28" s="36" t="s">
        <v>34</v>
      </c>
      <c r="CY28" s="41">
        <v>241</v>
      </c>
      <c r="CZ28" s="44">
        <v>60</v>
      </c>
    </row>
    <row r="29" spans="1:104" ht="15.6" customHeight="1" thickBot="1" x14ac:dyDescent="0.35">
      <c r="A29" s="350" t="s">
        <v>535</v>
      </c>
      <c r="B29" s="351"/>
      <c r="C29" s="351"/>
      <c r="D29" s="351"/>
      <c r="E29" s="351"/>
      <c r="F29" s="352"/>
      <c r="G29" s="16"/>
      <c r="CX29" s="36" t="s">
        <v>35</v>
      </c>
      <c r="CY29" s="41">
        <v>242</v>
      </c>
      <c r="CZ29" s="44">
        <v>140</v>
      </c>
    </row>
    <row r="30" spans="1:104" ht="15.6" customHeight="1" thickBot="1" x14ac:dyDescent="0.35">
      <c r="A30" s="350" t="s">
        <v>536</v>
      </c>
      <c r="B30" s="351"/>
      <c r="C30" s="351"/>
      <c r="D30" s="351"/>
      <c r="E30" s="351"/>
      <c r="F30" s="305"/>
      <c r="G30" s="63"/>
      <c r="CX30" s="36" t="s">
        <v>36</v>
      </c>
      <c r="CY30" s="41">
        <v>243</v>
      </c>
      <c r="CZ30" s="44">
        <v>140</v>
      </c>
    </row>
    <row r="31" spans="1:104" ht="15" thickBot="1" x14ac:dyDescent="0.35">
      <c r="A31" s="350" t="s">
        <v>531</v>
      </c>
      <c r="B31" s="304"/>
      <c r="C31" s="304"/>
      <c r="D31" s="304"/>
      <c r="E31" s="304"/>
      <c r="F31" s="305"/>
      <c r="G31" s="60"/>
      <c r="CX31" s="36" t="s">
        <v>37</v>
      </c>
      <c r="CY31" s="41">
        <v>244</v>
      </c>
      <c r="CZ31" s="44">
        <v>260</v>
      </c>
    </row>
    <row r="32" spans="1:104" ht="15" thickBot="1" x14ac:dyDescent="0.35">
      <c r="A32" s="350" t="s">
        <v>532</v>
      </c>
      <c r="B32" s="304"/>
      <c r="C32" s="304"/>
      <c r="D32" s="304"/>
      <c r="E32" s="304"/>
      <c r="F32" s="305"/>
      <c r="G32" s="65"/>
      <c r="CX32" s="36" t="s">
        <v>38</v>
      </c>
      <c r="CY32" s="41">
        <v>245</v>
      </c>
      <c r="CZ32" s="44">
        <v>260</v>
      </c>
    </row>
    <row r="33" spans="1:104" ht="15.6" customHeight="1" thickBot="1" x14ac:dyDescent="0.35">
      <c r="A33" s="350" t="s">
        <v>603</v>
      </c>
      <c r="B33" s="304"/>
      <c r="C33" s="304"/>
      <c r="D33" s="304"/>
      <c r="E33" s="304"/>
      <c r="F33" s="305"/>
      <c r="G33" s="66"/>
      <c r="CX33" s="36" t="s">
        <v>39</v>
      </c>
      <c r="CY33" s="41">
        <v>246</v>
      </c>
      <c r="CZ33" s="44">
        <v>260</v>
      </c>
    </row>
    <row r="34" spans="1:104" ht="15.6" customHeight="1" thickBot="1" x14ac:dyDescent="0.35">
      <c r="A34" s="385" t="s">
        <v>537</v>
      </c>
      <c r="B34" s="424"/>
      <c r="C34" s="424"/>
      <c r="D34" s="424"/>
      <c r="E34" s="424"/>
      <c r="F34" s="425"/>
      <c r="G34" s="53">
        <f>IF(AND(G12="Oui",G13="Oui",G14="Oui",G29="Oui",G32&lt;&gt;""),'Majorations applicables'!B37,0)*G30</f>
        <v>0</v>
      </c>
      <c r="CX34" s="36" t="s">
        <v>40</v>
      </c>
      <c r="CY34" s="41">
        <v>247</v>
      </c>
      <c r="CZ34" s="44">
        <v>280</v>
      </c>
    </row>
    <row r="35" spans="1:104" ht="15.6" customHeight="1" thickBot="1" x14ac:dyDescent="0.35">
      <c r="A35" s="350" t="s">
        <v>538</v>
      </c>
      <c r="B35" s="304"/>
      <c r="C35" s="304"/>
      <c r="D35" s="304"/>
      <c r="E35" s="304"/>
      <c r="F35" s="305"/>
      <c r="G35" s="16"/>
      <c r="CX35" s="36" t="s">
        <v>41</v>
      </c>
      <c r="CY35" s="41">
        <v>250</v>
      </c>
      <c r="CZ35" s="44">
        <v>260</v>
      </c>
    </row>
    <row r="36" spans="1:104" ht="15.6" customHeight="1" thickBot="1" x14ac:dyDescent="0.35">
      <c r="A36" s="350" t="s">
        <v>536</v>
      </c>
      <c r="B36" s="304"/>
      <c r="C36" s="304"/>
      <c r="D36" s="304"/>
      <c r="E36" s="304"/>
      <c r="F36" s="305"/>
      <c r="G36" s="63"/>
      <c r="CX36" s="36" t="s">
        <v>42</v>
      </c>
      <c r="CY36" s="41">
        <v>251</v>
      </c>
      <c r="CZ36" s="44">
        <v>280</v>
      </c>
    </row>
    <row r="37" spans="1:104" ht="15" thickBot="1" x14ac:dyDescent="0.35">
      <c r="A37" s="350" t="s">
        <v>531</v>
      </c>
      <c r="B37" s="304"/>
      <c r="C37" s="304"/>
      <c r="D37" s="304"/>
      <c r="E37" s="304"/>
      <c r="F37" s="305"/>
      <c r="G37" s="64"/>
      <c r="CX37" s="36" t="s">
        <v>43</v>
      </c>
      <c r="CY37" s="41">
        <v>252</v>
      </c>
      <c r="CZ37" s="44">
        <v>280</v>
      </c>
    </row>
    <row r="38" spans="1:104" ht="15" thickBot="1" x14ac:dyDescent="0.35">
      <c r="A38" s="350" t="s">
        <v>532</v>
      </c>
      <c r="B38" s="304"/>
      <c r="C38" s="304"/>
      <c r="D38" s="304"/>
      <c r="E38" s="304"/>
      <c r="F38" s="305"/>
      <c r="G38" s="65"/>
      <c r="CX38" s="36" t="s">
        <v>44</v>
      </c>
      <c r="CY38" s="41">
        <v>253</v>
      </c>
      <c r="CZ38" s="45">
        <v>280</v>
      </c>
    </row>
    <row r="39" spans="1:104" ht="15.6" customHeight="1" thickBot="1" x14ac:dyDescent="0.35">
      <c r="A39" s="350" t="s">
        <v>603</v>
      </c>
      <c r="B39" s="351"/>
      <c r="C39" s="351"/>
      <c r="D39" s="351"/>
      <c r="E39" s="351"/>
      <c r="F39" s="352"/>
      <c r="G39" s="66"/>
      <c r="CX39" s="36" t="s">
        <v>45</v>
      </c>
      <c r="CY39" s="41">
        <v>254</v>
      </c>
      <c r="CZ39" s="45">
        <v>280</v>
      </c>
    </row>
    <row r="40" spans="1:104" ht="15.6" customHeight="1" thickBot="1" x14ac:dyDescent="0.35">
      <c r="A40" s="385" t="s">
        <v>539</v>
      </c>
      <c r="B40" s="386"/>
      <c r="C40" s="386"/>
      <c r="D40" s="386"/>
      <c r="E40" s="386"/>
      <c r="F40" s="425"/>
      <c r="G40" s="53">
        <f>IF(G36&lt;=G30,(IF(AND(G12="OUI",G13="OUI",G14="OUI",G35="OUI",G38&lt;&gt;""),'Majorations applicables'!B38,0)*G36),0)</f>
        <v>0</v>
      </c>
      <c r="CX40" s="36" t="s">
        <v>46</v>
      </c>
      <c r="CY40" s="41">
        <v>255</v>
      </c>
      <c r="CZ40" s="45">
        <v>120</v>
      </c>
    </row>
    <row r="41" spans="1:104" ht="15.6" customHeight="1" thickBot="1" x14ac:dyDescent="0.35">
      <c r="A41" s="385" t="s">
        <v>540</v>
      </c>
      <c r="B41" s="386"/>
      <c r="C41" s="386"/>
      <c r="D41" s="386"/>
      <c r="E41" s="386"/>
      <c r="F41" s="425"/>
      <c r="G41" s="53">
        <f>G40+G34</f>
        <v>0</v>
      </c>
      <c r="I41" s="71"/>
      <c r="CX41" s="36" t="s">
        <v>47</v>
      </c>
      <c r="CY41" s="41">
        <v>256</v>
      </c>
      <c r="CZ41" s="45">
        <v>200</v>
      </c>
    </row>
    <row r="42" spans="1:104" ht="16.2" thickBot="1" x14ac:dyDescent="0.35">
      <c r="A42" s="406" t="s">
        <v>660</v>
      </c>
      <c r="B42" s="407"/>
      <c r="C42" s="407"/>
      <c r="D42" s="407"/>
      <c r="E42" s="407"/>
      <c r="F42" s="407"/>
      <c r="G42" s="408"/>
      <c r="CX42" s="36" t="s">
        <v>48</v>
      </c>
      <c r="CY42" s="41">
        <v>257</v>
      </c>
      <c r="CZ42" s="45">
        <v>280</v>
      </c>
    </row>
    <row r="43" spans="1:104" ht="15.6" customHeight="1" thickBot="1" x14ac:dyDescent="0.35">
      <c r="A43" s="435" t="s">
        <v>541</v>
      </c>
      <c r="B43" s="436"/>
      <c r="C43" s="436"/>
      <c r="D43" s="436"/>
      <c r="E43" s="436"/>
      <c r="F43" s="437"/>
      <c r="G43" s="194">
        <f>G27*G16</f>
        <v>0</v>
      </c>
      <c r="CX43" s="36" t="s">
        <v>49</v>
      </c>
      <c r="CY43" s="41">
        <v>258</v>
      </c>
      <c r="CZ43" s="45">
        <v>280</v>
      </c>
    </row>
    <row r="44" spans="1:104" ht="15.6" customHeight="1" thickBot="1" x14ac:dyDescent="0.35">
      <c r="A44" s="435" t="s">
        <v>542</v>
      </c>
      <c r="B44" s="436"/>
      <c r="C44" s="436"/>
      <c r="D44" s="436"/>
      <c r="E44" s="436"/>
      <c r="F44" s="437"/>
      <c r="G44" s="194">
        <f>G41*G16</f>
        <v>0</v>
      </c>
      <c r="CX44" s="36" t="s">
        <v>50</v>
      </c>
      <c r="CY44" s="41">
        <v>259</v>
      </c>
      <c r="CZ44" s="45">
        <v>280</v>
      </c>
    </row>
    <row r="45" spans="1:104" ht="15.6" customHeight="1" thickBot="1" x14ac:dyDescent="0.35">
      <c r="A45" s="435" t="s">
        <v>544</v>
      </c>
      <c r="B45" s="436"/>
      <c r="C45" s="436"/>
      <c r="D45" s="436"/>
      <c r="E45" s="436"/>
      <c r="F45" s="437"/>
      <c r="G45" s="194">
        <f>G44+G43</f>
        <v>0</v>
      </c>
      <c r="CX45" s="36" t="s">
        <v>51</v>
      </c>
      <c r="CY45" s="41">
        <v>260</v>
      </c>
      <c r="CZ45" s="45">
        <v>280</v>
      </c>
    </row>
    <row r="46" spans="1:104" ht="3" customHeight="1" thickBot="1" x14ac:dyDescent="0.35">
      <c r="A46" s="330"/>
      <c r="B46" s="331"/>
      <c r="C46" s="331"/>
      <c r="D46" s="331"/>
      <c r="E46" s="331"/>
      <c r="F46" s="331"/>
      <c r="G46" s="332"/>
      <c r="CX46" s="36" t="s">
        <v>52</v>
      </c>
      <c r="CY46" s="41">
        <v>261</v>
      </c>
      <c r="CZ46" s="45">
        <v>280</v>
      </c>
    </row>
    <row r="47" spans="1:104" ht="16.2" thickBot="1" x14ac:dyDescent="0.35">
      <c r="A47" s="406" t="s">
        <v>520</v>
      </c>
      <c r="B47" s="407"/>
      <c r="C47" s="407"/>
      <c r="D47" s="407"/>
      <c r="E47" s="407"/>
      <c r="F47" s="407"/>
      <c r="G47" s="408"/>
      <c r="CX47" s="36" t="s">
        <v>53</v>
      </c>
      <c r="CY47" s="41">
        <v>262</v>
      </c>
      <c r="CZ47" s="45">
        <v>280</v>
      </c>
    </row>
    <row r="48" spans="1:104" ht="84" customHeight="1" thickBot="1" x14ac:dyDescent="0.35">
      <c r="A48" s="432"/>
      <c r="B48" s="433"/>
      <c r="C48" s="433"/>
      <c r="D48" s="433"/>
      <c r="E48" s="433"/>
      <c r="F48" s="433"/>
      <c r="G48" s="434"/>
      <c r="CX48" s="36" t="s">
        <v>54</v>
      </c>
      <c r="CY48" s="41">
        <v>263</v>
      </c>
      <c r="CZ48" s="45">
        <v>280</v>
      </c>
    </row>
    <row r="49" spans="1:105" ht="3" customHeight="1" thickBot="1" x14ac:dyDescent="0.35">
      <c r="A49" s="330"/>
      <c r="B49" s="331"/>
      <c r="C49" s="331"/>
      <c r="D49" s="331"/>
      <c r="E49" s="331"/>
      <c r="F49" s="331"/>
      <c r="G49" s="332"/>
      <c r="CX49" s="36" t="s">
        <v>57</v>
      </c>
      <c r="CY49" s="41">
        <v>266</v>
      </c>
      <c r="CZ49" s="45">
        <v>200</v>
      </c>
    </row>
    <row r="50" spans="1:105" ht="33" customHeight="1" thickBot="1" x14ac:dyDescent="0.35">
      <c r="A50" s="429" t="s">
        <v>653</v>
      </c>
      <c r="B50" s="430"/>
      <c r="C50" s="430"/>
      <c r="D50" s="430"/>
      <c r="E50" s="430"/>
      <c r="F50" s="430"/>
      <c r="G50" s="431"/>
      <c r="CX50" s="36" t="s">
        <v>58</v>
      </c>
      <c r="CY50" s="41">
        <v>267</v>
      </c>
      <c r="CZ50" s="45">
        <v>280</v>
      </c>
    </row>
    <row r="51" spans="1:105" ht="13.05" customHeight="1" x14ac:dyDescent="0.3">
      <c r="A51" s="314"/>
      <c r="B51" s="315"/>
      <c r="C51" s="315"/>
      <c r="D51" s="315"/>
      <c r="E51" s="315"/>
      <c r="F51" s="315"/>
      <c r="G51" s="320"/>
      <c r="CX51" s="36" t="s">
        <v>59</v>
      </c>
      <c r="CY51" s="41">
        <v>268</v>
      </c>
      <c r="CZ51" s="45">
        <v>280</v>
      </c>
    </row>
    <row r="52" spans="1:105" ht="13.05" customHeight="1" x14ac:dyDescent="0.3">
      <c r="A52" s="316"/>
      <c r="B52" s="317"/>
      <c r="C52" s="317"/>
      <c r="D52" s="317"/>
      <c r="E52" s="317"/>
      <c r="F52" s="317"/>
      <c r="G52" s="321"/>
      <c r="CX52" s="36" t="s">
        <v>60</v>
      </c>
      <c r="CY52" s="41">
        <v>269</v>
      </c>
      <c r="CZ52" s="46">
        <v>280</v>
      </c>
    </row>
    <row r="53" spans="1:105" ht="13.05" customHeight="1" thickBot="1" x14ac:dyDescent="0.35">
      <c r="A53" s="318"/>
      <c r="B53" s="319"/>
      <c r="C53" s="319"/>
      <c r="D53" s="319"/>
      <c r="E53" s="319"/>
      <c r="F53" s="319"/>
      <c r="G53" s="322"/>
      <c r="H53" s="67"/>
      <c r="CX53" s="36" t="s">
        <v>61</v>
      </c>
      <c r="CY53" s="41">
        <v>270</v>
      </c>
      <c r="CZ53" s="46">
        <v>280</v>
      </c>
    </row>
    <row r="54" spans="1:105" ht="19.95" customHeight="1" thickBot="1" x14ac:dyDescent="0.35">
      <c r="A54" s="370" t="s">
        <v>9</v>
      </c>
      <c r="B54" s="371"/>
      <c r="C54" s="371"/>
      <c r="D54" s="371"/>
      <c r="E54" s="371"/>
      <c r="F54" s="371"/>
      <c r="G54" s="22" t="s">
        <v>10</v>
      </c>
      <c r="H54" s="47"/>
      <c r="CX54" s="36" t="s">
        <v>62</v>
      </c>
      <c r="CY54" s="41">
        <v>271</v>
      </c>
      <c r="CZ54" s="44">
        <v>280</v>
      </c>
    </row>
    <row r="55" spans="1:105" ht="19.95" customHeight="1" x14ac:dyDescent="0.3">
      <c r="A55" s="372"/>
      <c r="B55" s="373"/>
      <c r="C55" s="373"/>
      <c r="D55" s="373"/>
      <c r="E55" s="373"/>
      <c r="F55" s="374"/>
      <c r="G55" s="328">
        <f ca="1">TODAY()</f>
        <v>42852</v>
      </c>
      <c r="CX55" s="36" t="s">
        <v>63</v>
      </c>
      <c r="CY55" s="41">
        <v>272</v>
      </c>
      <c r="CZ55" s="44">
        <v>280</v>
      </c>
    </row>
    <row r="56" spans="1:105" ht="19.95" customHeight="1" thickBot="1" x14ac:dyDescent="0.35">
      <c r="A56" s="375"/>
      <c r="B56" s="376"/>
      <c r="C56" s="376"/>
      <c r="D56" s="376"/>
      <c r="E56" s="376"/>
      <c r="F56" s="377"/>
      <c r="G56" s="329"/>
      <c r="CX56" s="47" t="s">
        <v>64</v>
      </c>
      <c r="CY56" s="41">
        <v>273</v>
      </c>
      <c r="CZ56" s="44">
        <v>280</v>
      </c>
    </row>
    <row r="57" spans="1:105" ht="19.95" customHeight="1" thickBot="1" x14ac:dyDescent="0.35">
      <c r="A57" s="353" t="s">
        <v>521</v>
      </c>
      <c r="B57" s="428"/>
      <c r="C57" s="428"/>
      <c r="D57" s="428"/>
      <c r="E57" s="428"/>
      <c r="F57" s="354"/>
      <c r="G57" s="266" t="s">
        <v>543</v>
      </c>
      <c r="CX57" s="47" t="s">
        <v>65</v>
      </c>
      <c r="CY57" s="41">
        <v>274</v>
      </c>
      <c r="CZ57" s="44">
        <v>280</v>
      </c>
    </row>
    <row r="58" spans="1:105" ht="15.6" customHeight="1" x14ac:dyDescent="0.3">
      <c r="CX58" s="47" t="s">
        <v>66</v>
      </c>
      <c r="CY58" s="41">
        <v>275</v>
      </c>
      <c r="CZ58" s="44">
        <v>280</v>
      </c>
    </row>
    <row r="59" spans="1:105" ht="15.6" customHeight="1" x14ac:dyDescent="0.3">
      <c r="CX59" s="47" t="s">
        <v>67</v>
      </c>
      <c r="CY59" s="41">
        <v>276</v>
      </c>
      <c r="CZ59" s="44">
        <v>280</v>
      </c>
    </row>
    <row r="60" spans="1:105" ht="15.6" customHeight="1" x14ac:dyDescent="0.3">
      <c r="CX60" s="47" t="s">
        <v>68</v>
      </c>
      <c r="CY60" s="41">
        <v>277</v>
      </c>
      <c r="CZ60" s="44">
        <v>280</v>
      </c>
      <c r="DA60" s="47"/>
    </row>
    <row r="61" spans="1:105" s="47" customFormat="1" ht="15.6" customHeight="1" x14ac:dyDescent="0.3">
      <c r="A61" s="36"/>
      <c r="B61" s="36"/>
      <c r="C61" s="36"/>
      <c r="D61" s="36"/>
      <c r="E61" s="37"/>
      <c r="F61" s="43"/>
      <c r="G61" s="43"/>
      <c r="H61" s="36"/>
      <c r="CX61" s="47" t="s">
        <v>69</v>
      </c>
      <c r="CY61" s="41">
        <v>278</v>
      </c>
      <c r="CZ61" s="44">
        <v>280</v>
      </c>
    </row>
    <row r="62" spans="1:105" s="47" customFormat="1" ht="15.6" customHeight="1" x14ac:dyDescent="0.3">
      <c r="A62" s="36"/>
      <c r="B62" s="36"/>
      <c r="C62" s="36"/>
      <c r="D62" s="36"/>
      <c r="E62" s="37"/>
      <c r="F62" s="43"/>
      <c r="G62" s="43"/>
      <c r="H62" s="36"/>
      <c r="CX62" s="47" t="s">
        <v>70</v>
      </c>
      <c r="CY62" s="41">
        <v>279</v>
      </c>
      <c r="CZ62" s="44">
        <v>280</v>
      </c>
    </row>
    <row r="63" spans="1:105" s="47" customFormat="1" ht="15.6" customHeight="1" x14ac:dyDescent="0.3">
      <c r="A63" s="36"/>
      <c r="B63" s="36"/>
      <c r="C63" s="36"/>
      <c r="D63" s="36"/>
      <c r="E63" s="37"/>
      <c r="F63" s="43"/>
      <c r="G63" s="43"/>
      <c r="H63" s="36"/>
      <c r="CX63" s="47" t="s">
        <v>71</v>
      </c>
      <c r="CY63" s="41">
        <v>280</v>
      </c>
      <c r="CZ63" s="44">
        <v>280</v>
      </c>
    </row>
    <row r="64" spans="1:105" s="47" customFormat="1" ht="15.6" customHeight="1" x14ac:dyDescent="0.3">
      <c r="A64" s="36"/>
      <c r="B64" s="36"/>
      <c r="C64" s="36"/>
      <c r="D64" s="36"/>
      <c r="E64" s="37"/>
      <c r="F64" s="43"/>
      <c r="G64" s="43"/>
      <c r="H64" s="36"/>
      <c r="CX64" s="47" t="s">
        <v>72</v>
      </c>
      <c r="CY64" s="41">
        <v>281</v>
      </c>
      <c r="CZ64" s="44">
        <v>280</v>
      </c>
    </row>
    <row r="65" spans="1:105" s="47" customFormat="1" ht="15.6" customHeight="1" x14ac:dyDescent="0.3">
      <c r="A65" s="36"/>
      <c r="B65" s="36"/>
      <c r="C65" s="36"/>
      <c r="D65" s="36"/>
      <c r="E65" s="37"/>
      <c r="F65" s="43"/>
      <c r="G65" s="43"/>
      <c r="H65" s="36"/>
      <c r="CX65" s="47" t="s">
        <v>73</v>
      </c>
      <c r="CY65" s="41">
        <v>282</v>
      </c>
      <c r="CZ65" s="44">
        <v>280</v>
      </c>
    </row>
    <row r="66" spans="1:105" s="47" customFormat="1" ht="15.6" customHeight="1" x14ac:dyDescent="0.3">
      <c r="A66" s="36"/>
      <c r="B66" s="36"/>
      <c r="C66" s="36"/>
      <c r="D66" s="36"/>
      <c r="E66" s="37"/>
      <c r="F66" s="43"/>
      <c r="G66" s="43"/>
      <c r="H66" s="36"/>
      <c r="CX66" s="47" t="s">
        <v>74</v>
      </c>
      <c r="CY66" s="41">
        <v>283</v>
      </c>
      <c r="CZ66" s="44">
        <v>280</v>
      </c>
    </row>
    <row r="67" spans="1:105" s="47" customFormat="1" ht="15.6" customHeight="1" x14ac:dyDescent="0.3">
      <c r="A67" s="36"/>
      <c r="B67" s="36"/>
      <c r="C67" s="36"/>
      <c r="D67" s="36"/>
      <c r="E67" s="37"/>
      <c r="F67" s="43"/>
      <c r="G67" s="43"/>
      <c r="H67" s="36"/>
      <c r="CX67" s="47" t="s">
        <v>75</v>
      </c>
      <c r="CY67" s="41">
        <v>284</v>
      </c>
      <c r="CZ67" s="44">
        <v>280</v>
      </c>
    </row>
    <row r="68" spans="1:105" s="47" customFormat="1" ht="15.6" customHeight="1" x14ac:dyDescent="0.3">
      <c r="A68" s="36"/>
      <c r="B68" s="36"/>
      <c r="C68" s="36"/>
      <c r="D68" s="36"/>
      <c r="E68" s="37"/>
      <c r="F68" s="43"/>
      <c r="G68" s="43"/>
      <c r="H68" s="36"/>
      <c r="CX68" s="47" t="s">
        <v>76</v>
      </c>
      <c r="CY68" s="41">
        <v>285</v>
      </c>
      <c r="CZ68" s="44">
        <v>280</v>
      </c>
    </row>
    <row r="69" spans="1:105" s="47" customFormat="1" ht="15.6" customHeight="1" x14ac:dyDescent="0.3">
      <c r="A69" s="36"/>
      <c r="B69" s="36"/>
      <c r="C69" s="36"/>
      <c r="D69" s="36"/>
      <c r="E69" s="37"/>
      <c r="F69" s="43"/>
      <c r="G69" s="43"/>
      <c r="H69" s="36"/>
      <c r="CX69" s="47" t="s">
        <v>77</v>
      </c>
      <c r="CY69" s="41">
        <v>286</v>
      </c>
      <c r="CZ69" s="44">
        <v>280</v>
      </c>
    </row>
    <row r="70" spans="1:105" s="47" customFormat="1" ht="15.6" customHeight="1" x14ac:dyDescent="0.3">
      <c r="A70" s="36"/>
      <c r="B70" s="36"/>
      <c r="C70" s="36"/>
      <c r="D70" s="36"/>
      <c r="E70" s="37"/>
      <c r="F70" s="43"/>
      <c r="G70" s="43"/>
      <c r="H70" s="36"/>
      <c r="CX70" s="47" t="s">
        <v>78</v>
      </c>
      <c r="CY70" s="41">
        <v>287</v>
      </c>
      <c r="CZ70" s="44">
        <v>280</v>
      </c>
    </row>
    <row r="71" spans="1:105" s="47" customFormat="1" ht="15.6" customHeight="1" x14ac:dyDescent="0.3">
      <c r="A71" s="36"/>
      <c r="B71" s="36"/>
      <c r="C71" s="36"/>
      <c r="D71" s="36"/>
      <c r="E71" s="37"/>
      <c r="F71" s="43"/>
      <c r="G71" s="43"/>
      <c r="H71" s="36"/>
      <c r="CX71" s="47" t="s">
        <v>79</v>
      </c>
      <c r="CY71" s="41">
        <v>288</v>
      </c>
      <c r="CZ71" s="44">
        <v>280</v>
      </c>
    </row>
    <row r="72" spans="1:105" s="47" customFormat="1" ht="15.6" customHeight="1" x14ac:dyDescent="0.3">
      <c r="A72" s="36"/>
      <c r="B72" s="36"/>
      <c r="C72" s="36"/>
      <c r="D72" s="36"/>
      <c r="E72" s="37"/>
      <c r="F72" s="43"/>
      <c r="G72" s="43"/>
      <c r="H72" s="36"/>
      <c r="CX72" s="48" t="s">
        <v>80</v>
      </c>
      <c r="CY72" s="41">
        <v>289</v>
      </c>
      <c r="CZ72" s="44">
        <v>280</v>
      </c>
    </row>
    <row r="73" spans="1:105" s="47" customFormat="1" ht="15.6" customHeight="1" x14ac:dyDescent="0.3">
      <c r="A73" s="36"/>
      <c r="B73" s="36"/>
      <c r="C73" s="36"/>
      <c r="D73" s="36"/>
      <c r="E73" s="37"/>
      <c r="F73" s="43"/>
      <c r="G73" s="43"/>
      <c r="H73" s="36"/>
      <c r="CX73" s="48" t="s">
        <v>81</v>
      </c>
      <c r="CY73" s="41">
        <v>290</v>
      </c>
      <c r="CZ73" s="44">
        <v>280</v>
      </c>
    </row>
    <row r="74" spans="1:105" s="47" customFormat="1" ht="18" customHeight="1" x14ac:dyDescent="0.3">
      <c r="A74" s="36"/>
      <c r="B74" s="36"/>
      <c r="C74" s="36"/>
      <c r="D74" s="36"/>
      <c r="E74" s="37"/>
      <c r="F74" s="43"/>
      <c r="G74" s="43"/>
      <c r="H74" s="36"/>
      <c r="CX74" s="36"/>
      <c r="CY74" s="41">
        <v>291</v>
      </c>
      <c r="CZ74" s="44">
        <v>280</v>
      </c>
    </row>
    <row r="75" spans="1:105" s="47" customFormat="1" x14ac:dyDescent="0.3">
      <c r="A75" s="36"/>
      <c r="B75" s="36"/>
      <c r="C75" s="36"/>
      <c r="D75" s="36"/>
      <c r="E75" s="37"/>
      <c r="F75" s="43"/>
      <c r="G75" s="43"/>
      <c r="H75" s="36"/>
      <c r="CX75" s="36"/>
      <c r="CY75" s="41">
        <v>292</v>
      </c>
      <c r="CZ75" s="44">
        <v>280</v>
      </c>
    </row>
    <row r="76" spans="1:105" s="47" customFormat="1" x14ac:dyDescent="0.3">
      <c r="A76" s="36"/>
      <c r="B76" s="36"/>
      <c r="C76" s="36"/>
      <c r="D76" s="36"/>
      <c r="E76" s="37"/>
      <c r="F76" s="43"/>
      <c r="G76" s="43"/>
      <c r="H76" s="36"/>
      <c r="CX76" s="36"/>
      <c r="CY76" s="41">
        <v>350</v>
      </c>
      <c r="CZ76" s="44">
        <v>0</v>
      </c>
      <c r="DA76" s="48"/>
    </row>
    <row r="77" spans="1:105" s="47" customFormat="1" x14ac:dyDescent="0.3">
      <c r="A77" s="36"/>
      <c r="B77" s="36"/>
      <c r="C77" s="36"/>
      <c r="D77" s="36"/>
      <c r="E77" s="37"/>
      <c r="F77" s="43"/>
      <c r="G77" s="43"/>
      <c r="H77" s="36"/>
      <c r="CX77" s="36"/>
      <c r="CY77" s="268">
        <v>351</v>
      </c>
      <c r="CZ77" s="44">
        <v>0</v>
      </c>
    </row>
    <row r="78" spans="1:105" s="47" customFormat="1" x14ac:dyDescent="0.3">
      <c r="A78" s="36"/>
      <c r="B78" s="36"/>
      <c r="C78" s="36"/>
      <c r="D78" s="36"/>
      <c r="E78" s="37"/>
      <c r="F78" s="43"/>
      <c r="G78" s="43"/>
      <c r="H78" s="36"/>
      <c r="CX78" s="36"/>
      <c r="CY78" s="268">
        <v>352</v>
      </c>
      <c r="CZ78" s="44">
        <v>40</v>
      </c>
      <c r="DA78" s="36"/>
    </row>
    <row r="79" spans="1:105" x14ac:dyDescent="0.3">
      <c r="CY79" s="41">
        <v>353</v>
      </c>
      <c r="CZ79" s="44">
        <v>40</v>
      </c>
    </row>
    <row r="80" spans="1:105" x14ac:dyDescent="0.3">
      <c r="CY80" s="41">
        <v>354</v>
      </c>
      <c r="CZ80" s="44">
        <v>120</v>
      </c>
    </row>
    <row r="81" spans="103:104" x14ac:dyDescent="0.3">
      <c r="CY81" s="41">
        <v>355</v>
      </c>
      <c r="CZ81" s="44">
        <v>180</v>
      </c>
    </row>
    <row r="82" spans="103:104" x14ac:dyDescent="0.3">
      <c r="CY82" s="41">
        <v>356</v>
      </c>
      <c r="CZ82" s="44">
        <v>240</v>
      </c>
    </row>
    <row r="83" spans="103:104" x14ac:dyDescent="0.3">
      <c r="CY83" s="41">
        <v>357</v>
      </c>
      <c r="CZ83" s="44">
        <v>240</v>
      </c>
    </row>
    <row r="84" spans="103:104" x14ac:dyDescent="0.3">
      <c r="CY84" s="41">
        <v>450</v>
      </c>
      <c r="CZ84" s="44">
        <v>60</v>
      </c>
    </row>
    <row r="85" spans="103:104" x14ac:dyDescent="0.3">
      <c r="CY85" s="41">
        <v>451</v>
      </c>
      <c r="CZ85" s="44">
        <v>0</v>
      </c>
    </row>
    <row r="86" spans="103:104" x14ac:dyDescent="0.3">
      <c r="CY86" s="41">
        <v>452</v>
      </c>
      <c r="CZ86" s="44">
        <v>0</v>
      </c>
    </row>
    <row r="87" spans="103:104" x14ac:dyDescent="0.3">
      <c r="CY87" s="41">
        <v>453</v>
      </c>
      <c r="CZ87" s="44">
        <v>0</v>
      </c>
    </row>
    <row r="88" spans="103:104" x14ac:dyDescent="0.3">
      <c r="CY88" s="41">
        <v>454</v>
      </c>
      <c r="CZ88" s="44">
        <v>0</v>
      </c>
    </row>
    <row r="89" spans="103:104" x14ac:dyDescent="0.3">
      <c r="CY89" s="41">
        <v>455</v>
      </c>
      <c r="CZ89" s="44">
        <v>0</v>
      </c>
    </row>
    <row r="90" spans="103:104" x14ac:dyDescent="0.3">
      <c r="CY90" s="41">
        <v>456</v>
      </c>
      <c r="CZ90" s="44">
        <v>0</v>
      </c>
    </row>
    <row r="91" spans="103:104" x14ac:dyDescent="0.3">
      <c r="CY91" s="41">
        <v>457</v>
      </c>
      <c r="CZ91" s="44">
        <v>0</v>
      </c>
    </row>
    <row r="92" spans="103:104" x14ac:dyDescent="0.3">
      <c r="CY92" s="41">
        <v>458</v>
      </c>
      <c r="CZ92" s="44">
        <v>60</v>
      </c>
    </row>
    <row r="93" spans="103:104" x14ac:dyDescent="0.3">
      <c r="CY93" s="41">
        <v>459</v>
      </c>
      <c r="CZ93" s="44">
        <v>60</v>
      </c>
    </row>
    <row r="94" spans="103:104" x14ac:dyDescent="0.3">
      <c r="CY94" s="41">
        <v>460</v>
      </c>
      <c r="CZ94" s="44">
        <v>200</v>
      </c>
    </row>
    <row r="95" spans="103:104" x14ac:dyDescent="0.3">
      <c r="CY95" s="41">
        <v>461</v>
      </c>
      <c r="CZ95" s="44">
        <v>240</v>
      </c>
    </row>
    <row r="96" spans="103:104" x14ac:dyDescent="0.3">
      <c r="CY96" s="41">
        <v>551</v>
      </c>
      <c r="CZ96" s="44">
        <v>0</v>
      </c>
    </row>
    <row r="97" spans="103:104" x14ac:dyDescent="0.3">
      <c r="CY97" s="41">
        <v>650</v>
      </c>
      <c r="CZ97" s="44">
        <v>0</v>
      </c>
    </row>
    <row r="98" spans="103:104" x14ac:dyDescent="0.3">
      <c r="CY98" s="41">
        <v>651</v>
      </c>
      <c r="CZ98" s="44">
        <v>40</v>
      </c>
    </row>
    <row r="99" spans="103:104" x14ac:dyDescent="0.3">
      <c r="CY99" s="41">
        <v>652</v>
      </c>
      <c r="CZ99" s="44">
        <v>200</v>
      </c>
    </row>
    <row r="100" spans="103:104" x14ac:dyDescent="0.3">
      <c r="CY100" s="41">
        <v>653</v>
      </c>
      <c r="CZ100" s="44">
        <v>140</v>
      </c>
    </row>
    <row r="101" spans="103:104" x14ac:dyDescent="0.3">
      <c r="CY101" s="41">
        <v>654</v>
      </c>
      <c r="CZ101" s="44">
        <v>200</v>
      </c>
    </row>
    <row r="102" spans="103:104" x14ac:dyDescent="0.3">
      <c r="CY102" s="41">
        <v>655</v>
      </c>
      <c r="CZ102" s="44">
        <v>40</v>
      </c>
    </row>
    <row r="103" spans="103:104" x14ac:dyDescent="0.3">
      <c r="CY103" s="41">
        <v>656</v>
      </c>
      <c r="CZ103" s="44">
        <v>140</v>
      </c>
    </row>
    <row r="104" spans="103:104" x14ac:dyDescent="0.3">
      <c r="CY104" s="41">
        <v>657</v>
      </c>
      <c r="CZ104" s="44">
        <v>140</v>
      </c>
    </row>
    <row r="105" spans="103:104" x14ac:dyDescent="0.3">
      <c r="CY105" s="41">
        <v>658</v>
      </c>
      <c r="CZ105" s="44">
        <v>220</v>
      </c>
    </row>
    <row r="106" spans="103:104" x14ac:dyDescent="0.3">
      <c r="CY106" s="41">
        <v>659</v>
      </c>
      <c r="CZ106" s="44">
        <v>280</v>
      </c>
    </row>
    <row r="107" spans="103:104" x14ac:dyDescent="0.3">
      <c r="CY107" s="41">
        <v>660</v>
      </c>
      <c r="CZ107" s="44">
        <v>160</v>
      </c>
    </row>
    <row r="108" spans="103:104" x14ac:dyDescent="0.3">
      <c r="CY108" s="41">
        <v>661</v>
      </c>
      <c r="CZ108" s="44">
        <v>40</v>
      </c>
    </row>
    <row r="109" spans="103:104" x14ac:dyDescent="0.3">
      <c r="CY109" s="41">
        <v>662</v>
      </c>
      <c r="CZ109" s="44">
        <v>0</v>
      </c>
    </row>
    <row r="110" spans="103:104" x14ac:dyDescent="0.3">
      <c r="CY110" s="41">
        <v>750</v>
      </c>
      <c r="CZ110" s="44">
        <v>0</v>
      </c>
    </row>
    <row r="111" spans="103:104" x14ac:dyDescent="0.3">
      <c r="CY111" s="41">
        <v>751</v>
      </c>
      <c r="CZ111" s="44">
        <v>40</v>
      </c>
    </row>
    <row r="112" spans="103:104" x14ac:dyDescent="0.3">
      <c r="CY112" s="41">
        <v>752</v>
      </c>
      <c r="CZ112" s="44">
        <v>220</v>
      </c>
    </row>
    <row r="113" spans="103:104" x14ac:dyDescent="0.3">
      <c r="CY113" s="41">
        <v>753</v>
      </c>
      <c r="CZ113" s="44">
        <v>280</v>
      </c>
    </row>
    <row r="114" spans="103:104" x14ac:dyDescent="0.3">
      <c r="CY114" s="41">
        <v>754</v>
      </c>
      <c r="CZ114" s="44">
        <v>80</v>
      </c>
    </row>
    <row r="115" spans="103:104" x14ac:dyDescent="0.3">
      <c r="CY115" s="41">
        <v>755</v>
      </c>
      <c r="CZ115" s="44">
        <v>60</v>
      </c>
    </row>
    <row r="116" spans="103:104" x14ac:dyDescent="0.3">
      <c r="CY116" s="41">
        <v>756</v>
      </c>
      <c r="CZ116" s="44">
        <v>260</v>
      </c>
    </row>
    <row r="117" spans="103:104" x14ac:dyDescent="0.3">
      <c r="CY117" s="41">
        <v>757</v>
      </c>
      <c r="CZ117" s="44">
        <v>260</v>
      </c>
    </row>
    <row r="118" spans="103:104" x14ac:dyDescent="0.3">
      <c r="CY118" s="41">
        <v>758</v>
      </c>
      <c r="CZ118" s="44">
        <v>280</v>
      </c>
    </row>
    <row r="119" spans="103:104" x14ac:dyDescent="0.3">
      <c r="CY119" s="41">
        <v>850</v>
      </c>
      <c r="CZ119" s="44">
        <v>0</v>
      </c>
    </row>
    <row r="120" spans="103:104" x14ac:dyDescent="0.3">
      <c r="CY120" s="41">
        <v>851</v>
      </c>
      <c r="CZ120" s="44">
        <v>0</v>
      </c>
    </row>
    <row r="121" spans="103:104" x14ac:dyDescent="0.3">
      <c r="CY121" s="41">
        <v>852</v>
      </c>
      <c r="CZ121" s="44">
        <v>0</v>
      </c>
    </row>
    <row r="122" spans="103:104" x14ac:dyDescent="0.3">
      <c r="CY122" s="41">
        <v>853</v>
      </c>
      <c r="CZ122" s="44">
        <v>0</v>
      </c>
    </row>
    <row r="123" spans="103:104" x14ac:dyDescent="0.3">
      <c r="CY123" s="41">
        <v>854</v>
      </c>
      <c r="CZ123" s="44">
        <v>0</v>
      </c>
    </row>
    <row r="124" spans="103:104" x14ac:dyDescent="0.3">
      <c r="CY124" s="41">
        <v>855</v>
      </c>
      <c r="CZ124" s="44">
        <v>0</v>
      </c>
    </row>
    <row r="125" spans="103:104" x14ac:dyDescent="0.3">
      <c r="CY125" s="41">
        <v>856</v>
      </c>
      <c r="CZ125" s="44">
        <v>60</v>
      </c>
    </row>
    <row r="126" spans="103:104" x14ac:dyDescent="0.3">
      <c r="CY126" s="41">
        <v>857</v>
      </c>
      <c r="CZ126" s="44">
        <v>80</v>
      </c>
    </row>
    <row r="127" spans="103:104" x14ac:dyDescent="0.3">
      <c r="CY127" s="41">
        <v>858</v>
      </c>
      <c r="CZ127" s="44">
        <v>100</v>
      </c>
    </row>
    <row r="128" spans="103:104" x14ac:dyDescent="0.3">
      <c r="CY128" s="41">
        <v>859</v>
      </c>
      <c r="CZ128" s="44">
        <v>180</v>
      </c>
    </row>
    <row r="129" spans="103:104" x14ac:dyDescent="0.3">
      <c r="CY129" s="41">
        <v>860</v>
      </c>
      <c r="CZ129" s="44">
        <v>260</v>
      </c>
    </row>
    <row r="130" spans="103:104" x14ac:dyDescent="0.3">
      <c r="CY130" s="41">
        <v>861</v>
      </c>
      <c r="CZ130" s="44">
        <v>240</v>
      </c>
    </row>
    <row r="131" spans="103:104" x14ac:dyDescent="0.3">
      <c r="CY131" s="41">
        <v>862</v>
      </c>
      <c r="CZ131" s="44">
        <v>280</v>
      </c>
    </row>
    <row r="132" spans="103:104" x14ac:dyDescent="0.3">
      <c r="CY132" s="41">
        <v>863</v>
      </c>
      <c r="CZ132" s="44">
        <v>280</v>
      </c>
    </row>
    <row r="133" spans="103:104" x14ac:dyDescent="0.3">
      <c r="CY133" s="41">
        <v>864</v>
      </c>
      <c r="CZ133" s="44">
        <v>280</v>
      </c>
    </row>
    <row r="134" spans="103:104" x14ac:dyDescent="0.3">
      <c r="CY134" s="41">
        <v>865</v>
      </c>
      <c r="CZ134" s="44">
        <v>280</v>
      </c>
    </row>
    <row r="135" spans="103:104" x14ac:dyDescent="0.3">
      <c r="CY135" s="41">
        <v>866</v>
      </c>
      <c r="CZ135" s="44">
        <v>280</v>
      </c>
    </row>
    <row r="136" spans="103:104" x14ac:dyDescent="0.3">
      <c r="CY136" s="41">
        <v>867</v>
      </c>
      <c r="CZ136" s="44">
        <v>280</v>
      </c>
    </row>
    <row r="137" spans="103:104" x14ac:dyDescent="0.3">
      <c r="CY137" s="41">
        <v>868</v>
      </c>
      <c r="CZ137" s="44">
        <v>280</v>
      </c>
    </row>
    <row r="138" spans="103:104" x14ac:dyDescent="0.3">
      <c r="CY138" s="41">
        <v>869</v>
      </c>
      <c r="CZ138" s="44">
        <v>280</v>
      </c>
    </row>
    <row r="139" spans="103:104" x14ac:dyDescent="0.3">
      <c r="CY139" s="41">
        <v>870</v>
      </c>
      <c r="CZ139" s="44">
        <v>280</v>
      </c>
    </row>
    <row r="140" spans="103:104" x14ac:dyDescent="0.3">
      <c r="CY140" s="41">
        <v>871</v>
      </c>
      <c r="CZ140" s="44">
        <v>280</v>
      </c>
    </row>
    <row r="141" spans="103:104" x14ac:dyDescent="0.3">
      <c r="CY141" s="41">
        <v>872</v>
      </c>
      <c r="CZ141" s="44">
        <v>280</v>
      </c>
    </row>
    <row r="142" spans="103:104" x14ac:dyDescent="0.3">
      <c r="CY142" s="41">
        <v>873</v>
      </c>
      <c r="CZ142" s="44">
        <v>280</v>
      </c>
    </row>
    <row r="143" spans="103:104" x14ac:dyDescent="0.3">
      <c r="CY143" s="41">
        <v>874</v>
      </c>
      <c r="CZ143" s="44">
        <v>280</v>
      </c>
    </row>
    <row r="144" spans="103:104" x14ac:dyDescent="0.3">
      <c r="CY144" s="41">
        <v>875</v>
      </c>
      <c r="CZ144" s="44">
        <v>280</v>
      </c>
    </row>
    <row r="145" spans="103:104" x14ac:dyDescent="0.3">
      <c r="CY145" s="41">
        <v>876</v>
      </c>
      <c r="CZ145" s="44">
        <v>280</v>
      </c>
    </row>
    <row r="146" spans="103:104" x14ac:dyDescent="0.3">
      <c r="CY146" s="41">
        <v>877</v>
      </c>
      <c r="CZ146" s="44">
        <v>280</v>
      </c>
    </row>
    <row r="147" spans="103:104" x14ac:dyDescent="0.3">
      <c r="CY147" s="41">
        <v>878</v>
      </c>
      <c r="CZ147" s="44">
        <v>280</v>
      </c>
    </row>
    <row r="148" spans="103:104" x14ac:dyDescent="0.3">
      <c r="CY148" s="41">
        <v>879</v>
      </c>
      <c r="CZ148" s="44">
        <v>280</v>
      </c>
    </row>
    <row r="149" spans="103:104" x14ac:dyDescent="0.3">
      <c r="CY149" s="41">
        <v>880</v>
      </c>
      <c r="CZ149" s="44">
        <v>280</v>
      </c>
    </row>
    <row r="150" spans="103:104" x14ac:dyDescent="0.3">
      <c r="CY150" s="41">
        <v>881</v>
      </c>
      <c r="CZ150" s="44">
        <v>280</v>
      </c>
    </row>
    <row r="151" spans="103:104" x14ac:dyDescent="0.3">
      <c r="CY151" s="41">
        <v>882</v>
      </c>
      <c r="CZ151" s="44">
        <v>280</v>
      </c>
    </row>
    <row r="152" spans="103:104" x14ac:dyDescent="0.3">
      <c r="CY152" s="41">
        <v>883</v>
      </c>
      <c r="CZ152" s="44">
        <v>280</v>
      </c>
    </row>
    <row r="153" spans="103:104" x14ac:dyDescent="0.3">
      <c r="CY153" s="41">
        <v>884</v>
      </c>
      <c r="CZ153" s="44">
        <v>280</v>
      </c>
    </row>
    <row r="154" spans="103:104" x14ac:dyDescent="0.3">
      <c r="CY154" s="41">
        <v>885</v>
      </c>
      <c r="CZ154" s="44">
        <v>280</v>
      </c>
    </row>
    <row r="155" spans="103:104" x14ac:dyDescent="0.3">
      <c r="CY155" s="41">
        <v>886</v>
      </c>
      <c r="CZ155" s="44">
        <v>280</v>
      </c>
    </row>
    <row r="156" spans="103:104" x14ac:dyDescent="0.3">
      <c r="CY156" s="41">
        <v>887</v>
      </c>
      <c r="CZ156" s="44">
        <v>280</v>
      </c>
    </row>
    <row r="157" spans="103:104" x14ac:dyDescent="0.3">
      <c r="CY157" s="41">
        <v>888</v>
      </c>
      <c r="CZ157" s="44">
        <v>280</v>
      </c>
    </row>
    <row r="158" spans="103:104" x14ac:dyDescent="0.3">
      <c r="CY158" s="41">
        <v>889</v>
      </c>
      <c r="CZ158" s="44">
        <v>240</v>
      </c>
    </row>
    <row r="159" spans="103:104" x14ac:dyDescent="0.3">
      <c r="CY159" s="41">
        <v>890</v>
      </c>
      <c r="CZ159" s="44">
        <v>280</v>
      </c>
    </row>
    <row r="160" spans="103:104" x14ac:dyDescent="0.3">
      <c r="CY160" s="41">
        <v>891</v>
      </c>
      <c r="CZ160" s="44">
        <v>280</v>
      </c>
    </row>
    <row r="161" spans="103:104" x14ac:dyDescent="0.3">
      <c r="CY161" s="41">
        <v>892</v>
      </c>
      <c r="CZ161" s="44">
        <v>280</v>
      </c>
    </row>
    <row r="162" spans="103:104" x14ac:dyDescent="0.3">
      <c r="CY162" s="41">
        <v>950</v>
      </c>
      <c r="CZ162" s="44">
        <v>280</v>
      </c>
    </row>
    <row r="163" spans="103:104" x14ac:dyDescent="0.3">
      <c r="CY163" s="41">
        <v>951</v>
      </c>
      <c r="CZ163" s="44">
        <v>280</v>
      </c>
    </row>
    <row r="164" spans="103:104" x14ac:dyDescent="0.3">
      <c r="CY164" s="41">
        <v>952</v>
      </c>
      <c r="CZ164" s="44">
        <v>280</v>
      </c>
    </row>
    <row r="165" spans="103:104" x14ac:dyDescent="0.3">
      <c r="CY165" s="41">
        <v>953</v>
      </c>
      <c r="CZ165" s="44">
        <v>280</v>
      </c>
    </row>
    <row r="166" spans="103:104" x14ac:dyDescent="0.3">
      <c r="CY166" s="41">
        <v>954</v>
      </c>
      <c r="CZ166" s="44">
        <v>280</v>
      </c>
    </row>
    <row r="167" spans="103:104" x14ac:dyDescent="0.3">
      <c r="CY167" s="41">
        <v>955</v>
      </c>
      <c r="CZ167" s="44">
        <v>280</v>
      </c>
    </row>
    <row r="168" spans="103:104" x14ac:dyDescent="0.3">
      <c r="CY168" s="41">
        <v>956</v>
      </c>
      <c r="CZ168" s="44">
        <v>280</v>
      </c>
    </row>
    <row r="169" spans="103:104" x14ac:dyDescent="0.3">
      <c r="CY169" s="41">
        <v>957</v>
      </c>
      <c r="CZ169" s="44">
        <v>280</v>
      </c>
    </row>
    <row r="170" spans="103:104" x14ac:dyDescent="0.3">
      <c r="CY170" s="41">
        <v>960</v>
      </c>
      <c r="CZ170" s="44">
        <v>280</v>
      </c>
    </row>
    <row r="171" spans="103:104" x14ac:dyDescent="0.3">
      <c r="CY171" s="41">
        <v>961</v>
      </c>
      <c r="CZ171" s="44">
        <v>280</v>
      </c>
    </row>
    <row r="172" spans="103:104" x14ac:dyDescent="0.3">
      <c r="CY172" s="41">
        <v>962</v>
      </c>
      <c r="CZ172" s="44">
        <v>280</v>
      </c>
    </row>
    <row r="173" spans="103:104" x14ac:dyDescent="0.3">
      <c r="CY173" s="41">
        <v>963</v>
      </c>
      <c r="CZ173" s="44">
        <v>280</v>
      </c>
    </row>
    <row r="174" spans="103:104" x14ac:dyDescent="0.3">
      <c r="CY174" s="41">
        <v>964</v>
      </c>
      <c r="CZ174" s="44">
        <v>280</v>
      </c>
    </row>
    <row r="175" spans="103:104" x14ac:dyDescent="0.3">
      <c r="CY175" s="41">
        <v>965</v>
      </c>
      <c r="CZ175" s="44">
        <v>280</v>
      </c>
    </row>
    <row r="176" spans="103:104" x14ac:dyDescent="0.3">
      <c r="CY176" s="41">
        <v>966</v>
      </c>
      <c r="CZ176" s="44">
        <v>280</v>
      </c>
    </row>
    <row r="177" spans="103:104" x14ac:dyDescent="0.3">
      <c r="CY177" s="41">
        <v>967</v>
      </c>
      <c r="CZ177" s="44">
        <v>280</v>
      </c>
    </row>
    <row r="178" spans="103:104" x14ac:dyDescent="0.3">
      <c r="CY178" s="41">
        <v>970</v>
      </c>
      <c r="CZ178" s="44">
        <v>280</v>
      </c>
    </row>
    <row r="179" spans="103:104" x14ac:dyDescent="0.3">
      <c r="CY179" s="41">
        <v>980</v>
      </c>
      <c r="CZ179" s="44">
        <v>280</v>
      </c>
    </row>
    <row r="180" spans="103:104" x14ac:dyDescent="0.3">
      <c r="CY180" s="41">
        <v>981</v>
      </c>
      <c r="CZ180" s="44">
        <v>280</v>
      </c>
    </row>
    <row r="181" spans="103:104" x14ac:dyDescent="0.3">
      <c r="CY181" s="41">
        <v>982</v>
      </c>
      <c r="CZ181" s="44">
        <v>280</v>
      </c>
    </row>
    <row r="182" spans="103:104" x14ac:dyDescent="0.3">
      <c r="CY182" s="41">
        <v>983</v>
      </c>
      <c r="CZ182" s="44">
        <v>280</v>
      </c>
    </row>
    <row r="183" spans="103:104" x14ac:dyDescent="0.3">
      <c r="CY183" s="41">
        <v>984</v>
      </c>
      <c r="CZ183" s="44">
        <v>280</v>
      </c>
    </row>
    <row r="184" spans="103:104" x14ac:dyDescent="0.3">
      <c r="CY184" s="41">
        <v>985</v>
      </c>
      <c r="CZ184" s="44">
        <v>280</v>
      </c>
    </row>
    <row r="185" spans="103:104" x14ac:dyDescent="0.3">
      <c r="CY185" s="41">
        <v>986</v>
      </c>
      <c r="CZ185" s="44">
        <v>280</v>
      </c>
    </row>
    <row r="186" spans="103:104" x14ac:dyDescent="0.3">
      <c r="CY186" s="41">
        <v>987</v>
      </c>
      <c r="CZ186" s="44">
        <v>280</v>
      </c>
    </row>
    <row r="187" spans="103:104" x14ac:dyDescent="0.3">
      <c r="CY187" s="41">
        <v>990</v>
      </c>
      <c r="CZ187" s="44">
        <v>280</v>
      </c>
    </row>
    <row r="188" spans="103:104" x14ac:dyDescent="0.3">
      <c r="CY188" s="41">
        <v>995</v>
      </c>
      <c r="CZ188" s="44">
        <v>0</v>
      </c>
    </row>
  </sheetData>
  <sheetProtection algorithmName="SHA-512" hashValue="qjNiBxC0n7DlchBLhU2YyNpNrGAvKR+r3hoP62cy5lZ+BnydimGFEyWGXneBfdoWcUGMMgCiAieTemsAEtapzQ==" saltValue="1ycOm48RTreAP7xm+Mz7LQ==" spinCount="100000" sheet="1" objects="1" scenarios="1" selectLockedCells="1"/>
  <mergeCells count="58">
    <mergeCell ref="A20:F20"/>
    <mergeCell ref="A54:F54"/>
    <mergeCell ref="A55:F56"/>
    <mergeCell ref="G55:G56"/>
    <mergeCell ref="A42:G42"/>
    <mergeCell ref="A41:F41"/>
    <mergeCell ref="A43:F43"/>
    <mergeCell ref="A44:F44"/>
    <mergeCell ref="A45:F45"/>
    <mergeCell ref="A36:F36"/>
    <mergeCell ref="A37:F37"/>
    <mergeCell ref="A38:F38"/>
    <mergeCell ref="A39:F39"/>
    <mergeCell ref="A40:F40"/>
    <mergeCell ref="A31:F31"/>
    <mergeCell ref="A32:F32"/>
    <mergeCell ref="A57:F57"/>
    <mergeCell ref="A46:G46"/>
    <mergeCell ref="A49:G49"/>
    <mergeCell ref="A50:G50"/>
    <mergeCell ref="A51:F53"/>
    <mergeCell ref="G51:G53"/>
    <mergeCell ref="A47:G47"/>
    <mergeCell ref="A48:G48"/>
    <mergeCell ref="A33:F33"/>
    <mergeCell ref="A34:F34"/>
    <mergeCell ref="A35:F35"/>
    <mergeCell ref="A26:F26"/>
    <mergeCell ref="A27:F27"/>
    <mergeCell ref="A28:G28"/>
    <mergeCell ref="A29:F29"/>
    <mergeCell ref="A30:F30"/>
    <mergeCell ref="A21:C25"/>
    <mergeCell ref="D21:F21"/>
    <mergeCell ref="D22:F22"/>
    <mergeCell ref="D23:F23"/>
    <mergeCell ref="D24:F24"/>
    <mergeCell ref="D25:F25"/>
    <mergeCell ref="A1:G1"/>
    <mergeCell ref="A3:G3"/>
    <mergeCell ref="A4:G4"/>
    <mergeCell ref="A5:F5"/>
    <mergeCell ref="A2:E2"/>
    <mergeCell ref="A6:F6"/>
    <mergeCell ref="A7:F7"/>
    <mergeCell ref="A8:F8"/>
    <mergeCell ref="A18:C19"/>
    <mergeCell ref="D18:F18"/>
    <mergeCell ref="D19:F19"/>
    <mergeCell ref="A11:G11"/>
    <mergeCell ref="A10:F10"/>
    <mergeCell ref="A9:F9"/>
    <mergeCell ref="A12:F12"/>
    <mergeCell ref="A13:F13"/>
    <mergeCell ref="A17:G17"/>
    <mergeCell ref="A14:F14"/>
    <mergeCell ref="A15:F15"/>
    <mergeCell ref="A16:F16"/>
  </mergeCells>
  <conditionalFormatting sqref="G36 G30">
    <cfRule type="expression" dxfId="0" priority="1">
      <formula>$G$36&gt;$G$30</formula>
    </cfRule>
  </conditionalFormatting>
  <dataValidations xWindow="862" yWindow="783" count="21">
    <dataValidation type="list" allowBlank="1" showInputMessage="1" showErrorMessage="1" errorTitle="Validation «UAF»" error="La valeur inscrite ne correspond aux valeur pré-établies." sqref="G5">
      <formula1>UA</formula1>
    </dataValidation>
    <dataValidation allowBlank="1" showInputMessage="1" showErrorMessage="1" sqref="G44"/>
    <dataValidation type="decimal" allowBlank="1" showInputMessage="1" showErrorMessage="1" error="La valeur inscrite doit être entre 0% et 100% inclusivement_x000a_" sqref="G36">
      <formula1>0</formula1>
      <formula2>1</formula2>
    </dataValidation>
    <dataValidation type="decimal" allowBlank="1" showInputMessage="1" showErrorMessage="1" errorTitle="Validation «Proportion»" error="La valeur inscrite doit être entre 0% et 100% inclusivement_x000a_" promptTitle="Informations" prompt="Par rapport au total des bois feuillus récoltés" sqref="G30">
      <formula1>0</formula1>
      <formula2>1</formula2>
    </dataValidation>
    <dataValidation allowBlank="1" showInputMessage="1" showErrorMessage="1" error="Champ numérique positif_x000a_" sqref="G23 G40 G32 G38"/>
    <dataValidation type="decimal" allowBlank="1" showInputMessage="1" showErrorMessage="1" error="Ne peut excéder 100%" sqref="G21">
      <formula1>0</formula1>
      <formula2>1</formula2>
    </dataValidation>
    <dataValidation type="list" allowBlank="1" showInputMessage="1" showErrorMessage="1" errorTitle="Validation «Zones de tarif.»" error="La valeur inscrite ne correspond pas aux valeur pré-établies" sqref="G18">
      <formula1>Zones_de_tarification</formula1>
    </dataValidation>
    <dataValidation type="decimal" allowBlank="1" showInputMessage="1" showErrorMessage="1" errorTitle="Validation «Superficie»" error="Champ numérique positif_x000a_" sqref="G16">
      <formula1>0</formula1>
      <formula2>1000</formula2>
    </dataValidation>
    <dataValidation type="decimal" allowBlank="1" showInputMessage="1" showErrorMessage="1" error="Champ numérique positif_x000a_" sqref="G41">
      <formula1>0</formula1>
      <formula2>9999</formula2>
    </dataValidation>
    <dataValidation type="list" allowBlank="1" showInputMessage="1" showErrorMessage="1" errorTitle="Validation «Question»" error="La valeur inscrite ne correspond pas aux valeurs pré-établies." sqref="G35">
      <formula1>Question</formula1>
    </dataValidation>
    <dataValidation type="decimal" allowBlank="1" showInputMessage="1" showErrorMessage="1" errorTitle="Validation «Bois de trituration»" error="La valeur inscrite doit être entre 0% et 100% inclusivement_x000a_" promptTitle="Information" prompt="Si tous les bois de trituration sont récupérés, inscrire 100%." sqref="G15">
      <formula1>0</formula1>
      <formula2>1</formula2>
    </dataValidation>
    <dataValidation type="decimal" allowBlank="1" showInputMessage="1" showErrorMessage="1" errorTitle="Validation «Volume déclaré»" error="Champ numérique positif_x000a_" sqref="G39">
      <formula1>0</formula1>
      <formula2>9999</formula2>
    </dataValidation>
    <dataValidation type="list" errorStyle="information" allowBlank="1" showInputMessage="1" showErrorMessage="1" errorTitle="Validation «Code RATF»" error="Il est possible de saisir le code RATF de votre choix s'il ne se retrouve pas dans le menu déroulant." promptTitle="Validation Code RATF" prompt="Il est possible de saisir le code RATF de votre choix s'il ne se retrouve pas dans le menu déroulant.  Il n'y a aucune validation de cohérence entre le code DICA et le code RATF à l'intérieur de ce fichier." sqref="G10">
      <formula1>Codes_RATF</formula1>
    </dataValidation>
    <dataValidation type="list" allowBlank="1" showInputMessage="1" showErrorMessage="1" errorTitle="Validation «Question»" error="La valeur inscrite ne correspond pas aux valeurs pré-établies" promptTitle="Information" prompt="Les secteurs d’intervention dont la surface terrière feuillue est dominée par les peupliers (&gt;50%) sont exclus." sqref="G12">
      <formula1>Question</formula1>
    </dataValidation>
    <dataValidation type="decimal" allowBlank="1" showInputMessage="1" showErrorMessage="1" error="La valeur inscrite doit être entre 0% et 100% inclusivement" promptTitle="Information" prompt="Si toute l'aide est calculée selon la zone, inscrire 100%. _x000a__x000a_Si toute l'aide est calculée pour une autre destination, inscrire 0%." sqref="G19">
      <formula1>0</formula1>
      <formula2>1</formula2>
    </dataValidation>
    <dataValidation type="whole" allowBlank="1" showInputMessage="1" showErrorMessage="1" errorTitle="Validation «Distance»" error="Champ numérique entier positif_x000a_" sqref="G25">
      <formula1>0</formula1>
      <formula2>9999</formula2>
    </dataValidation>
    <dataValidation type="list" errorStyle="information" allowBlank="1" showInputMessage="1" showErrorMessage="1" errorTitle="Validation «Code DICA»" error="Il est possible de saisir le code DICA de votre choix s'il ne se retrouve pas dans le menu déroulant." promptTitle="Code DICA" prompt="Il est possible de saisir le code DICA de votre choix s'il ne se retrouve pas dans le menu déroulant." sqref="G9">
      <formula1>Codes_DICA</formula1>
    </dataValidation>
    <dataValidation allowBlank="1" showInputMessage="1" showErrorMessage="1" promptTitle="Information" prompt="La date du jour est inscrite. Il est toutefois possible de modifier la valeur." sqref="G55:G56"/>
    <dataValidation type="decimal" allowBlank="1" showInputMessage="1" showErrorMessage="1" errorTitle="Validation «Volume déclaré»" error="Champ numérique positif_x000a__x000a_" sqref="G24">
      <formula1>0</formula1>
      <formula2>9999</formula2>
    </dataValidation>
    <dataValidation type="decimal" allowBlank="1" showInputMessage="1" showErrorMessage="1" errorTitle="Validation «Volume déclaré»" error="Champ numérique positif_x000a_" sqref="G33">
      <formula1>0</formula1>
      <formula2>9999</formula2>
    </dataValidation>
    <dataValidation type="list" allowBlank="1" showInputMessage="1" showErrorMessage="1" errorTitle="Validation «Question»" error="La valeur inscrite ne correspond pas aux valeurs pré-établies" sqref="G29 G13 G14">
      <formula1>Question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5" scale="83" orientation="portrait" r:id="rId1"/>
  <headerFooter>
    <oddHeader>&amp;CVersion 2 : 2017-04-27</oddHeader>
    <oddFooter>&amp;L&amp;A&amp;R&amp;P de&amp;N</oddFooter>
  </headerFooter>
  <ignoredErrors>
    <ignoredError sqref="G5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82" r:id="rId4" name="Button 14">
              <controlPr defaultSize="0" print="0" autoFill="0" autoPict="0" macro="[0]!Volet_I_II_effacervaleurcellules_couleur_blanc">
                <anchor moveWithCells="1">
                  <from>
                    <xdr:col>8</xdr:col>
                    <xdr:colOff>236220</xdr:colOff>
                    <xdr:row>1</xdr:row>
                    <xdr:rowOff>236220</xdr:rowOff>
                  </from>
                  <to>
                    <xdr:col>9</xdr:col>
                    <xdr:colOff>548640</xdr:colOff>
                    <xdr:row>1</xdr:row>
                    <xdr:rowOff>1021080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G132"/>
  <sheetViews>
    <sheetView zoomScaleNormal="100" workbookViewId="0">
      <selection sqref="A1:G1"/>
    </sheetView>
  </sheetViews>
  <sheetFormatPr baseColWidth="10" defaultRowHeight="14.4" x14ac:dyDescent="0.3"/>
  <cols>
    <col min="1" max="1" width="21.88671875" style="11" customWidth="1"/>
    <col min="2" max="2" width="15.33203125" style="11" customWidth="1"/>
    <col min="3" max="3" width="24.33203125" style="11" bestFit="1" customWidth="1"/>
    <col min="4" max="4" width="21.33203125" style="11" customWidth="1"/>
    <col min="5" max="5" width="62" style="11" bestFit="1" customWidth="1"/>
    <col min="6" max="6" width="17.33203125" style="11" bestFit="1" customWidth="1"/>
    <col min="7" max="7" width="9.33203125" style="11" customWidth="1"/>
    <col min="8" max="8" width="11.5546875" style="11" customWidth="1"/>
    <col min="9" max="16384" width="11.5546875" style="11"/>
  </cols>
  <sheetData>
    <row r="1" spans="1:7" ht="21.6" thickBot="1" x14ac:dyDescent="0.45">
      <c r="A1" s="465" t="s">
        <v>654</v>
      </c>
      <c r="B1" s="466"/>
      <c r="C1" s="466"/>
      <c r="D1" s="466"/>
      <c r="E1" s="466"/>
      <c r="F1" s="466"/>
      <c r="G1" s="467"/>
    </row>
    <row r="2" spans="1:7" x14ac:dyDescent="0.3">
      <c r="A2" s="458" t="s">
        <v>207</v>
      </c>
      <c r="B2" s="460" t="s">
        <v>208</v>
      </c>
      <c r="C2" s="460" t="s">
        <v>209</v>
      </c>
      <c r="D2" s="460" t="s">
        <v>210</v>
      </c>
      <c r="E2" s="460" t="s">
        <v>211</v>
      </c>
      <c r="F2" s="460" t="s">
        <v>212</v>
      </c>
      <c r="G2" s="462" t="s">
        <v>213</v>
      </c>
    </row>
    <row r="3" spans="1:7" ht="15" thickBot="1" x14ac:dyDescent="0.35">
      <c r="A3" s="468"/>
      <c r="B3" s="469"/>
      <c r="C3" s="469"/>
      <c r="D3" s="469"/>
      <c r="E3" s="469"/>
      <c r="F3" s="469"/>
      <c r="G3" s="470"/>
    </row>
    <row r="4" spans="1:7" x14ac:dyDescent="0.3">
      <c r="A4" s="445" t="s">
        <v>214</v>
      </c>
      <c r="B4" s="453" t="s">
        <v>215</v>
      </c>
      <c r="C4" s="443" t="s">
        <v>216</v>
      </c>
      <c r="D4" s="441" t="s">
        <v>217</v>
      </c>
      <c r="E4" s="443" t="s">
        <v>218</v>
      </c>
      <c r="F4" s="2" t="s">
        <v>219</v>
      </c>
      <c r="G4" s="3">
        <v>1</v>
      </c>
    </row>
    <row r="5" spans="1:7" x14ac:dyDescent="0.3">
      <c r="A5" s="446"/>
      <c r="B5" s="454"/>
      <c r="C5" s="438"/>
      <c r="D5" s="442"/>
      <c r="E5" s="438"/>
      <c r="F5" s="4" t="s">
        <v>220</v>
      </c>
      <c r="G5" s="5">
        <v>1</v>
      </c>
    </row>
    <row r="6" spans="1:7" x14ac:dyDescent="0.3">
      <c r="A6" s="446"/>
      <c r="B6" s="454"/>
      <c r="C6" s="438"/>
      <c r="D6" s="442"/>
      <c r="E6" s="438"/>
      <c r="F6" s="4" t="s">
        <v>221</v>
      </c>
      <c r="G6" s="5">
        <v>1</v>
      </c>
    </row>
    <row r="7" spans="1:7" x14ac:dyDescent="0.3">
      <c r="A7" s="446"/>
      <c r="B7" s="454"/>
      <c r="C7" s="438"/>
      <c r="D7" s="442"/>
      <c r="E7" s="438"/>
      <c r="F7" s="4" t="s">
        <v>222</v>
      </c>
      <c r="G7" s="5">
        <v>1</v>
      </c>
    </row>
    <row r="8" spans="1:7" x14ac:dyDescent="0.3">
      <c r="A8" s="446"/>
      <c r="B8" s="454"/>
      <c r="C8" s="438"/>
      <c r="D8" s="442"/>
      <c r="E8" s="438"/>
      <c r="F8" s="4" t="s">
        <v>223</v>
      </c>
      <c r="G8" s="5">
        <v>1</v>
      </c>
    </row>
    <row r="9" spans="1:7" x14ac:dyDescent="0.3">
      <c r="A9" s="446"/>
      <c r="B9" s="454"/>
      <c r="C9" s="438"/>
      <c r="D9" s="442"/>
      <c r="E9" s="438"/>
      <c r="F9" s="4" t="s">
        <v>224</v>
      </c>
      <c r="G9" s="5">
        <v>1</v>
      </c>
    </row>
    <row r="10" spans="1:7" x14ac:dyDescent="0.3">
      <c r="A10" s="446" t="s">
        <v>225</v>
      </c>
      <c r="B10" s="454" t="s">
        <v>215</v>
      </c>
      <c r="C10" s="438" t="s">
        <v>216</v>
      </c>
      <c r="D10" s="442" t="s">
        <v>217</v>
      </c>
      <c r="E10" s="438" t="s">
        <v>218</v>
      </c>
      <c r="F10" s="4" t="s">
        <v>219</v>
      </c>
      <c r="G10" s="5">
        <v>2</v>
      </c>
    </row>
    <row r="11" spans="1:7" x14ac:dyDescent="0.3">
      <c r="A11" s="446"/>
      <c r="B11" s="454"/>
      <c r="C11" s="438"/>
      <c r="D11" s="442"/>
      <c r="E11" s="438"/>
      <c r="F11" s="4" t="s">
        <v>220</v>
      </c>
      <c r="G11" s="5">
        <v>2</v>
      </c>
    </row>
    <row r="12" spans="1:7" x14ac:dyDescent="0.3">
      <c r="A12" s="446"/>
      <c r="B12" s="454"/>
      <c r="C12" s="438"/>
      <c r="D12" s="442"/>
      <c r="E12" s="438"/>
      <c r="F12" s="4" t="s">
        <v>221</v>
      </c>
      <c r="G12" s="5">
        <v>2</v>
      </c>
    </row>
    <row r="13" spans="1:7" x14ac:dyDescent="0.3">
      <c r="A13" s="446"/>
      <c r="B13" s="454"/>
      <c r="C13" s="438"/>
      <c r="D13" s="442"/>
      <c r="E13" s="438"/>
      <c r="F13" s="4" t="s">
        <v>222</v>
      </c>
      <c r="G13" s="5">
        <v>2</v>
      </c>
    </row>
    <row r="14" spans="1:7" x14ac:dyDescent="0.3">
      <c r="A14" s="446"/>
      <c r="B14" s="454"/>
      <c r="C14" s="438"/>
      <c r="D14" s="442"/>
      <c r="E14" s="438"/>
      <c r="F14" s="4" t="s">
        <v>223</v>
      </c>
      <c r="G14" s="5">
        <v>2</v>
      </c>
    </row>
    <row r="15" spans="1:7" ht="15" thickBot="1" x14ac:dyDescent="0.35">
      <c r="A15" s="447"/>
      <c r="B15" s="464"/>
      <c r="C15" s="448"/>
      <c r="D15" s="444"/>
      <c r="E15" s="448"/>
      <c r="F15" s="6" t="s">
        <v>224</v>
      </c>
      <c r="G15" s="7">
        <v>2</v>
      </c>
    </row>
    <row r="16" spans="1:7" ht="21.6" thickBot="1" x14ac:dyDescent="0.45">
      <c r="A16" s="455" t="s">
        <v>655</v>
      </c>
      <c r="B16" s="456"/>
      <c r="C16" s="456"/>
      <c r="D16" s="456"/>
      <c r="E16" s="456"/>
      <c r="F16" s="456"/>
      <c r="G16" s="457"/>
    </row>
    <row r="17" spans="1:7" x14ac:dyDescent="0.3">
      <c r="A17" s="458" t="s">
        <v>207</v>
      </c>
      <c r="B17" s="460" t="s">
        <v>208</v>
      </c>
      <c r="C17" s="460" t="s">
        <v>209</v>
      </c>
      <c r="D17" s="460" t="s">
        <v>210</v>
      </c>
      <c r="E17" s="460" t="s">
        <v>211</v>
      </c>
      <c r="F17" s="460" t="s">
        <v>212</v>
      </c>
      <c r="G17" s="462" t="s">
        <v>213</v>
      </c>
    </row>
    <row r="18" spans="1:7" ht="15" thickBot="1" x14ac:dyDescent="0.35">
      <c r="A18" s="459"/>
      <c r="B18" s="461"/>
      <c r="C18" s="461"/>
      <c r="D18" s="461"/>
      <c r="E18" s="461"/>
      <c r="F18" s="461"/>
      <c r="G18" s="463"/>
    </row>
    <row r="19" spans="1:7" ht="13.95" customHeight="1" x14ac:dyDescent="0.3">
      <c r="A19" s="445" t="s">
        <v>225</v>
      </c>
      <c r="B19" s="441" t="s">
        <v>179</v>
      </c>
      <c r="C19" s="452" t="s">
        <v>216</v>
      </c>
      <c r="D19" s="441" t="s">
        <v>226</v>
      </c>
      <c r="E19" s="441" t="s">
        <v>227</v>
      </c>
      <c r="F19" s="2" t="s">
        <v>83</v>
      </c>
      <c r="G19" s="9">
        <v>4</v>
      </c>
    </row>
    <row r="20" spans="1:7" ht="13.95" customHeight="1" x14ac:dyDescent="0.3">
      <c r="A20" s="446"/>
      <c r="B20" s="442"/>
      <c r="C20" s="450"/>
      <c r="D20" s="442"/>
      <c r="E20" s="442"/>
      <c r="F20" s="4" t="s">
        <v>84</v>
      </c>
      <c r="G20" s="8">
        <v>4</v>
      </c>
    </row>
    <row r="21" spans="1:7" ht="13.95" customHeight="1" x14ac:dyDescent="0.3">
      <c r="A21" s="446"/>
      <c r="B21" s="442"/>
      <c r="C21" s="450"/>
      <c r="D21" s="442"/>
      <c r="E21" s="442"/>
      <c r="F21" s="4" t="s">
        <v>85</v>
      </c>
      <c r="G21" s="8">
        <v>4</v>
      </c>
    </row>
    <row r="22" spans="1:7" ht="13.95" customHeight="1" x14ac:dyDescent="0.3">
      <c r="A22" s="446"/>
      <c r="B22" s="442"/>
      <c r="C22" s="450"/>
      <c r="D22" s="442"/>
      <c r="E22" s="442"/>
      <c r="F22" s="4" t="s">
        <v>86</v>
      </c>
      <c r="G22" s="8">
        <v>4</v>
      </c>
    </row>
    <row r="23" spans="1:7" ht="13.95" customHeight="1" x14ac:dyDescent="0.3">
      <c r="A23" s="446"/>
      <c r="B23" s="442"/>
      <c r="C23" s="450"/>
      <c r="D23" s="442"/>
      <c r="E23" s="442"/>
      <c r="F23" s="4" t="s">
        <v>87</v>
      </c>
      <c r="G23" s="8">
        <v>4</v>
      </c>
    </row>
    <row r="24" spans="1:7" ht="13.95" customHeight="1" x14ac:dyDescent="0.3">
      <c r="A24" s="446"/>
      <c r="B24" s="442"/>
      <c r="C24" s="450"/>
      <c r="D24" s="442"/>
      <c r="E24" s="442"/>
      <c r="F24" s="4" t="s">
        <v>88</v>
      </c>
      <c r="G24" s="8">
        <v>4</v>
      </c>
    </row>
    <row r="25" spans="1:7" ht="13.95" customHeight="1" x14ac:dyDescent="0.3">
      <c r="A25" s="446"/>
      <c r="B25" s="442"/>
      <c r="C25" s="450"/>
      <c r="D25" s="442"/>
      <c r="E25" s="442" t="s">
        <v>228</v>
      </c>
      <c r="F25" s="159" t="s">
        <v>104</v>
      </c>
      <c r="G25" s="8">
        <v>4</v>
      </c>
    </row>
    <row r="26" spans="1:7" ht="13.95" customHeight="1" x14ac:dyDescent="0.3">
      <c r="A26" s="446"/>
      <c r="B26" s="442"/>
      <c r="C26" s="450"/>
      <c r="D26" s="442"/>
      <c r="E26" s="442"/>
      <c r="F26" s="159" t="s">
        <v>105</v>
      </c>
      <c r="G26" s="8">
        <v>4</v>
      </c>
    </row>
    <row r="27" spans="1:7" ht="13.95" customHeight="1" x14ac:dyDescent="0.3">
      <c r="A27" s="446"/>
      <c r="B27" s="442"/>
      <c r="C27" s="450"/>
      <c r="D27" s="442"/>
      <c r="E27" s="442"/>
      <c r="F27" s="159" t="s">
        <v>106</v>
      </c>
      <c r="G27" s="8">
        <v>4</v>
      </c>
    </row>
    <row r="28" spans="1:7" ht="13.95" customHeight="1" x14ac:dyDescent="0.3">
      <c r="A28" s="446"/>
      <c r="B28" s="442"/>
      <c r="C28" s="450"/>
      <c r="D28" s="442"/>
      <c r="E28" s="442"/>
      <c r="F28" s="159" t="s">
        <v>229</v>
      </c>
      <c r="G28" s="8">
        <v>4</v>
      </c>
    </row>
    <row r="29" spans="1:7" ht="13.95" customHeight="1" x14ac:dyDescent="0.3">
      <c r="A29" s="446"/>
      <c r="B29" s="442"/>
      <c r="C29" s="450"/>
      <c r="D29" s="442" t="s">
        <v>217</v>
      </c>
      <c r="E29" s="438" t="s">
        <v>230</v>
      </c>
      <c r="F29" s="4" t="s">
        <v>103</v>
      </c>
      <c r="G29" s="8">
        <v>4</v>
      </c>
    </row>
    <row r="30" spans="1:7" ht="13.95" customHeight="1" x14ac:dyDescent="0.3">
      <c r="A30" s="446"/>
      <c r="B30" s="442"/>
      <c r="C30" s="450"/>
      <c r="D30" s="442"/>
      <c r="E30" s="438"/>
      <c r="F30" s="4" t="s">
        <v>102</v>
      </c>
      <c r="G30" s="8">
        <v>4</v>
      </c>
    </row>
    <row r="31" spans="1:7" ht="13.95" customHeight="1" x14ac:dyDescent="0.3">
      <c r="A31" s="446"/>
      <c r="B31" s="442"/>
      <c r="C31" s="450"/>
      <c r="D31" s="442"/>
      <c r="E31" s="438"/>
      <c r="F31" s="4" t="s">
        <v>231</v>
      </c>
      <c r="G31" s="8">
        <v>4</v>
      </c>
    </row>
    <row r="32" spans="1:7" ht="13.95" customHeight="1" x14ac:dyDescent="0.3">
      <c r="A32" s="446"/>
      <c r="B32" s="442"/>
      <c r="C32" s="450"/>
      <c r="D32" s="449" t="s">
        <v>232</v>
      </c>
      <c r="E32" s="438" t="s">
        <v>233</v>
      </c>
      <c r="F32" s="4" t="s">
        <v>91</v>
      </c>
      <c r="G32" s="8">
        <v>4</v>
      </c>
    </row>
    <row r="33" spans="1:7" ht="13.95" customHeight="1" x14ac:dyDescent="0.3">
      <c r="A33" s="446"/>
      <c r="B33" s="442"/>
      <c r="C33" s="450"/>
      <c r="D33" s="450"/>
      <c r="E33" s="438"/>
      <c r="F33" s="4" t="s">
        <v>93</v>
      </c>
      <c r="G33" s="8">
        <v>4</v>
      </c>
    </row>
    <row r="34" spans="1:7" ht="13.95" customHeight="1" x14ac:dyDescent="0.3">
      <c r="A34" s="446"/>
      <c r="B34" s="442"/>
      <c r="C34" s="450"/>
      <c r="D34" s="450"/>
      <c r="E34" s="438" t="s">
        <v>234</v>
      </c>
      <c r="F34" s="4" t="s">
        <v>94</v>
      </c>
      <c r="G34" s="8">
        <v>4</v>
      </c>
    </row>
    <row r="35" spans="1:7" ht="13.95" customHeight="1" x14ac:dyDescent="0.3">
      <c r="A35" s="446"/>
      <c r="B35" s="442"/>
      <c r="C35" s="450"/>
      <c r="D35" s="450"/>
      <c r="E35" s="438"/>
      <c r="F35" s="4" t="s">
        <v>95</v>
      </c>
      <c r="G35" s="8">
        <v>4</v>
      </c>
    </row>
    <row r="36" spans="1:7" ht="13.95" customHeight="1" x14ac:dyDescent="0.3">
      <c r="A36" s="446"/>
      <c r="B36" s="442"/>
      <c r="C36" s="450"/>
      <c r="D36" s="450"/>
      <c r="E36" s="438"/>
      <c r="F36" s="4" t="s">
        <v>96</v>
      </c>
      <c r="G36" s="8">
        <v>4</v>
      </c>
    </row>
    <row r="37" spans="1:7" ht="13.95" customHeight="1" x14ac:dyDescent="0.3">
      <c r="A37" s="446"/>
      <c r="B37" s="442"/>
      <c r="C37" s="450"/>
      <c r="D37" s="450"/>
      <c r="E37" s="438"/>
      <c r="F37" s="4" t="s">
        <v>97</v>
      </c>
      <c r="G37" s="8">
        <v>4</v>
      </c>
    </row>
    <row r="38" spans="1:7" ht="13.95" customHeight="1" x14ac:dyDescent="0.3">
      <c r="A38" s="446"/>
      <c r="B38" s="442"/>
      <c r="C38" s="450"/>
      <c r="D38" s="450"/>
      <c r="E38" s="438"/>
      <c r="F38" s="4" t="s">
        <v>98</v>
      </c>
      <c r="G38" s="8">
        <v>4</v>
      </c>
    </row>
    <row r="39" spans="1:7" ht="13.95" customHeight="1" x14ac:dyDescent="0.3">
      <c r="A39" s="446"/>
      <c r="B39" s="442"/>
      <c r="C39" s="450"/>
      <c r="D39" s="450"/>
      <c r="E39" s="438"/>
      <c r="F39" s="4" t="s">
        <v>99</v>
      </c>
      <c r="G39" s="8">
        <v>4</v>
      </c>
    </row>
    <row r="40" spans="1:7" ht="28.8" x14ac:dyDescent="0.3">
      <c r="A40" s="446"/>
      <c r="B40" s="442"/>
      <c r="C40" s="450"/>
      <c r="D40" s="450"/>
      <c r="E40" s="170" t="s">
        <v>577</v>
      </c>
      <c r="F40" s="4" t="s">
        <v>425</v>
      </c>
      <c r="G40" s="5">
        <v>4</v>
      </c>
    </row>
    <row r="41" spans="1:7" ht="28.8" x14ac:dyDescent="0.3">
      <c r="A41" s="446"/>
      <c r="B41" s="442"/>
      <c r="C41" s="450"/>
      <c r="D41" s="450"/>
      <c r="E41" s="170" t="s">
        <v>580</v>
      </c>
      <c r="F41" s="4" t="s">
        <v>426</v>
      </c>
      <c r="G41" s="5">
        <v>4</v>
      </c>
    </row>
    <row r="42" spans="1:7" ht="28.8" x14ac:dyDescent="0.3">
      <c r="A42" s="446"/>
      <c r="B42" s="442"/>
      <c r="C42" s="450"/>
      <c r="D42" s="450"/>
      <c r="E42" s="170" t="s">
        <v>581</v>
      </c>
      <c r="F42" s="4" t="s">
        <v>427</v>
      </c>
      <c r="G42" s="5">
        <v>4</v>
      </c>
    </row>
    <row r="43" spans="1:7" ht="28.8" x14ac:dyDescent="0.3">
      <c r="A43" s="446"/>
      <c r="B43" s="442"/>
      <c r="C43" s="450"/>
      <c r="D43" s="450"/>
      <c r="E43" s="170" t="s">
        <v>578</v>
      </c>
      <c r="F43" s="4" t="s">
        <v>428</v>
      </c>
      <c r="G43" s="5">
        <v>4</v>
      </c>
    </row>
    <row r="44" spans="1:7" ht="28.8" x14ac:dyDescent="0.3">
      <c r="A44" s="446"/>
      <c r="B44" s="442"/>
      <c r="C44" s="451"/>
      <c r="D44" s="451"/>
      <c r="E44" s="170" t="s">
        <v>579</v>
      </c>
      <c r="F44" s="4" t="s">
        <v>429</v>
      </c>
      <c r="G44" s="5">
        <v>4</v>
      </c>
    </row>
    <row r="45" spans="1:7" ht="13.95" customHeight="1" x14ac:dyDescent="0.3">
      <c r="A45" s="446"/>
      <c r="B45" s="442"/>
      <c r="C45" s="442" t="s">
        <v>235</v>
      </c>
      <c r="D45" s="442" t="s">
        <v>236</v>
      </c>
      <c r="E45" s="169" t="s">
        <v>237</v>
      </c>
      <c r="F45" s="4" t="s">
        <v>82</v>
      </c>
      <c r="G45" s="8">
        <v>4</v>
      </c>
    </row>
    <row r="46" spans="1:7" ht="13.95" customHeight="1" x14ac:dyDescent="0.3">
      <c r="A46" s="446"/>
      <c r="B46" s="442"/>
      <c r="C46" s="442"/>
      <c r="D46" s="442"/>
      <c r="E46" s="169" t="s">
        <v>238</v>
      </c>
      <c r="F46" s="4" t="s">
        <v>89</v>
      </c>
      <c r="G46" s="8">
        <v>4</v>
      </c>
    </row>
    <row r="47" spans="1:7" ht="13.95" customHeight="1" x14ac:dyDescent="0.3">
      <c r="A47" s="446"/>
      <c r="B47" s="442"/>
      <c r="C47" s="442"/>
      <c r="D47" s="442" t="s">
        <v>217</v>
      </c>
      <c r="E47" s="438" t="s">
        <v>239</v>
      </c>
      <c r="F47" s="4" t="s">
        <v>100</v>
      </c>
      <c r="G47" s="8">
        <v>4</v>
      </c>
    </row>
    <row r="48" spans="1:7" ht="13.95" customHeight="1" x14ac:dyDescent="0.3">
      <c r="A48" s="446"/>
      <c r="B48" s="442"/>
      <c r="C48" s="442"/>
      <c r="D48" s="442"/>
      <c r="E48" s="438"/>
      <c r="F48" s="4" t="s">
        <v>101</v>
      </c>
      <c r="G48" s="8">
        <v>4</v>
      </c>
    </row>
    <row r="49" spans="1:7" ht="13.95" customHeight="1" x14ac:dyDescent="0.3">
      <c r="A49" s="446"/>
      <c r="B49" s="442"/>
      <c r="C49" s="442"/>
      <c r="D49" s="442" t="s">
        <v>232</v>
      </c>
      <c r="E49" s="438" t="s">
        <v>234</v>
      </c>
      <c r="F49" s="4" t="s">
        <v>94</v>
      </c>
      <c r="G49" s="8">
        <v>4</v>
      </c>
    </row>
    <row r="50" spans="1:7" ht="13.95" customHeight="1" x14ac:dyDescent="0.3">
      <c r="A50" s="446"/>
      <c r="B50" s="442"/>
      <c r="C50" s="442"/>
      <c r="D50" s="442"/>
      <c r="E50" s="438"/>
      <c r="F50" s="4" t="s">
        <v>95</v>
      </c>
      <c r="G50" s="8">
        <v>4</v>
      </c>
    </row>
    <row r="51" spans="1:7" ht="13.95" customHeight="1" x14ac:dyDescent="0.3">
      <c r="A51" s="446"/>
      <c r="B51" s="442"/>
      <c r="C51" s="442"/>
      <c r="D51" s="442"/>
      <c r="E51" s="438"/>
      <c r="F51" s="4" t="s">
        <v>96</v>
      </c>
      <c r="G51" s="8">
        <v>4</v>
      </c>
    </row>
    <row r="52" spans="1:7" ht="13.95" customHeight="1" x14ac:dyDescent="0.3">
      <c r="A52" s="446"/>
      <c r="B52" s="442"/>
      <c r="C52" s="442"/>
      <c r="D52" s="442"/>
      <c r="E52" s="438"/>
      <c r="F52" s="4" t="s">
        <v>97</v>
      </c>
      <c r="G52" s="8">
        <v>4</v>
      </c>
    </row>
    <row r="53" spans="1:7" ht="13.95" customHeight="1" x14ac:dyDescent="0.3">
      <c r="A53" s="446"/>
      <c r="B53" s="442"/>
      <c r="C53" s="442"/>
      <c r="D53" s="442"/>
      <c r="E53" s="438"/>
      <c r="F53" s="4" t="s">
        <v>98</v>
      </c>
      <c r="G53" s="8">
        <v>4</v>
      </c>
    </row>
    <row r="54" spans="1:7" ht="13.95" customHeight="1" thickBot="1" x14ac:dyDescent="0.35">
      <c r="A54" s="447"/>
      <c r="B54" s="444"/>
      <c r="C54" s="444"/>
      <c r="D54" s="444"/>
      <c r="E54" s="448"/>
      <c r="F54" s="6" t="s">
        <v>99</v>
      </c>
      <c r="G54" s="10">
        <v>4</v>
      </c>
    </row>
    <row r="55" spans="1:7" ht="13.95" customHeight="1" x14ac:dyDescent="0.3">
      <c r="A55" s="471" t="s">
        <v>225</v>
      </c>
      <c r="B55" s="475" t="s">
        <v>4</v>
      </c>
      <c r="C55" s="441" t="s">
        <v>216</v>
      </c>
      <c r="D55" s="441" t="s">
        <v>217</v>
      </c>
      <c r="E55" s="443" t="s">
        <v>230</v>
      </c>
      <c r="F55" s="2" t="s">
        <v>103</v>
      </c>
      <c r="G55" s="9">
        <v>5</v>
      </c>
    </row>
    <row r="56" spans="1:7" ht="13.95" customHeight="1" x14ac:dyDescent="0.3">
      <c r="A56" s="472"/>
      <c r="B56" s="476"/>
      <c r="C56" s="442"/>
      <c r="D56" s="442"/>
      <c r="E56" s="438"/>
      <c r="F56" s="4" t="s">
        <v>102</v>
      </c>
      <c r="G56" s="8">
        <v>5</v>
      </c>
    </row>
    <row r="57" spans="1:7" ht="13.95" customHeight="1" x14ac:dyDescent="0.3">
      <c r="A57" s="472"/>
      <c r="B57" s="476"/>
      <c r="C57" s="442"/>
      <c r="D57" s="442"/>
      <c r="E57" s="438"/>
      <c r="F57" s="4" t="s">
        <v>231</v>
      </c>
      <c r="G57" s="8">
        <v>5</v>
      </c>
    </row>
    <row r="58" spans="1:7" ht="13.95" customHeight="1" x14ac:dyDescent="0.3">
      <c r="A58" s="472"/>
      <c r="B58" s="476"/>
      <c r="C58" s="442"/>
      <c r="D58" s="442" t="s">
        <v>232</v>
      </c>
      <c r="E58" s="438" t="s">
        <v>233</v>
      </c>
      <c r="F58" s="4" t="s">
        <v>91</v>
      </c>
      <c r="G58" s="8">
        <v>5</v>
      </c>
    </row>
    <row r="59" spans="1:7" ht="13.95" customHeight="1" x14ac:dyDescent="0.3">
      <c r="A59" s="472"/>
      <c r="B59" s="476"/>
      <c r="C59" s="442"/>
      <c r="D59" s="442"/>
      <c r="E59" s="438"/>
      <c r="F59" s="4" t="s">
        <v>93</v>
      </c>
      <c r="G59" s="8">
        <v>5</v>
      </c>
    </row>
    <row r="60" spans="1:7" ht="13.95" customHeight="1" x14ac:dyDescent="0.3">
      <c r="A60" s="472"/>
      <c r="B60" s="476"/>
      <c r="C60" s="442"/>
      <c r="D60" s="442"/>
      <c r="E60" s="438" t="s">
        <v>234</v>
      </c>
      <c r="F60" s="4" t="s">
        <v>94</v>
      </c>
      <c r="G60" s="8">
        <v>5</v>
      </c>
    </row>
    <row r="61" spans="1:7" ht="13.95" customHeight="1" x14ac:dyDescent="0.3">
      <c r="A61" s="472"/>
      <c r="B61" s="476"/>
      <c r="C61" s="442"/>
      <c r="D61" s="442"/>
      <c r="E61" s="438"/>
      <c r="F61" s="4" t="s">
        <v>95</v>
      </c>
      <c r="G61" s="8">
        <v>5</v>
      </c>
    </row>
    <row r="62" spans="1:7" ht="13.95" customHeight="1" x14ac:dyDescent="0.3">
      <c r="A62" s="472"/>
      <c r="B62" s="476"/>
      <c r="C62" s="442"/>
      <c r="D62" s="442"/>
      <c r="E62" s="438"/>
      <c r="F62" s="4" t="s">
        <v>96</v>
      </c>
      <c r="G62" s="8">
        <v>5</v>
      </c>
    </row>
    <row r="63" spans="1:7" ht="13.95" customHeight="1" x14ac:dyDescent="0.3">
      <c r="A63" s="472"/>
      <c r="B63" s="476"/>
      <c r="C63" s="442"/>
      <c r="D63" s="442"/>
      <c r="E63" s="438"/>
      <c r="F63" s="4" t="s">
        <v>97</v>
      </c>
      <c r="G63" s="8">
        <v>5</v>
      </c>
    </row>
    <row r="64" spans="1:7" ht="13.95" customHeight="1" x14ac:dyDescent="0.3">
      <c r="A64" s="472"/>
      <c r="B64" s="476"/>
      <c r="C64" s="442"/>
      <c r="D64" s="442"/>
      <c r="E64" s="438"/>
      <c r="F64" s="4" t="s">
        <v>98</v>
      </c>
      <c r="G64" s="8">
        <v>5</v>
      </c>
    </row>
    <row r="65" spans="1:7" ht="13.95" customHeight="1" x14ac:dyDescent="0.3">
      <c r="A65" s="472"/>
      <c r="B65" s="476"/>
      <c r="C65" s="442"/>
      <c r="D65" s="442"/>
      <c r="E65" s="438"/>
      <c r="F65" s="4" t="s">
        <v>99</v>
      </c>
      <c r="G65" s="8">
        <v>5</v>
      </c>
    </row>
    <row r="66" spans="1:7" ht="13.95" customHeight="1" x14ac:dyDescent="0.3">
      <c r="A66" s="472"/>
      <c r="B66" s="476"/>
      <c r="C66" s="449" t="s">
        <v>235</v>
      </c>
      <c r="D66" s="442" t="s">
        <v>236</v>
      </c>
      <c r="E66" s="169" t="s">
        <v>237</v>
      </c>
      <c r="F66" s="4" t="s">
        <v>82</v>
      </c>
      <c r="G66" s="8">
        <v>5</v>
      </c>
    </row>
    <row r="67" spans="1:7" ht="13.95" customHeight="1" x14ac:dyDescent="0.3">
      <c r="A67" s="472"/>
      <c r="B67" s="476"/>
      <c r="C67" s="450"/>
      <c r="D67" s="442"/>
      <c r="E67" s="169" t="s">
        <v>238</v>
      </c>
      <c r="F67" s="4" t="s">
        <v>89</v>
      </c>
      <c r="G67" s="8">
        <v>5</v>
      </c>
    </row>
    <row r="68" spans="1:7" ht="13.95" customHeight="1" x14ac:dyDescent="0.3">
      <c r="A68" s="472"/>
      <c r="B68" s="476"/>
      <c r="C68" s="450"/>
      <c r="D68" s="442" t="s">
        <v>217</v>
      </c>
      <c r="E68" s="438" t="s">
        <v>239</v>
      </c>
      <c r="F68" s="4" t="s">
        <v>100</v>
      </c>
      <c r="G68" s="8">
        <v>5</v>
      </c>
    </row>
    <row r="69" spans="1:7" ht="13.95" customHeight="1" x14ac:dyDescent="0.3">
      <c r="A69" s="472"/>
      <c r="B69" s="476"/>
      <c r="C69" s="450"/>
      <c r="D69" s="442"/>
      <c r="E69" s="438"/>
      <c r="F69" s="4" t="s">
        <v>101</v>
      </c>
      <c r="G69" s="8">
        <v>5</v>
      </c>
    </row>
    <row r="70" spans="1:7" ht="13.95" customHeight="1" x14ac:dyDescent="0.3">
      <c r="A70" s="472"/>
      <c r="B70" s="476"/>
      <c r="C70" s="450"/>
      <c r="D70" s="449" t="s">
        <v>232</v>
      </c>
      <c r="E70" s="438" t="s">
        <v>234</v>
      </c>
      <c r="F70" s="4" t="s">
        <v>94</v>
      </c>
      <c r="G70" s="8">
        <v>5</v>
      </c>
    </row>
    <row r="71" spans="1:7" ht="13.95" customHeight="1" x14ac:dyDescent="0.3">
      <c r="A71" s="472"/>
      <c r="B71" s="476"/>
      <c r="C71" s="450"/>
      <c r="D71" s="450"/>
      <c r="E71" s="438"/>
      <c r="F71" s="4" t="s">
        <v>95</v>
      </c>
      <c r="G71" s="8">
        <v>5</v>
      </c>
    </row>
    <row r="72" spans="1:7" ht="13.95" customHeight="1" x14ac:dyDescent="0.3">
      <c r="A72" s="472"/>
      <c r="B72" s="476"/>
      <c r="C72" s="450"/>
      <c r="D72" s="450"/>
      <c r="E72" s="438"/>
      <c r="F72" s="4" t="s">
        <v>96</v>
      </c>
      <c r="G72" s="8">
        <v>5</v>
      </c>
    </row>
    <row r="73" spans="1:7" ht="13.95" customHeight="1" x14ac:dyDescent="0.3">
      <c r="A73" s="472"/>
      <c r="B73" s="476"/>
      <c r="C73" s="450"/>
      <c r="D73" s="450"/>
      <c r="E73" s="438"/>
      <c r="F73" s="4" t="s">
        <v>97</v>
      </c>
      <c r="G73" s="8">
        <v>5</v>
      </c>
    </row>
    <row r="74" spans="1:7" ht="13.95" customHeight="1" x14ac:dyDescent="0.3">
      <c r="A74" s="472"/>
      <c r="B74" s="476"/>
      <c r="C74" s="450"/>
      <c r="D74" s="450"/>
      <c r="E74" s="438"/>
      <c r="F74" s="4" t="s">
        <v>98</v>
      </c>
      <c r="G74" s="8">
        <v>5</v>
      </c>
    </row>
    <row r="75" spans="1:7" ht="13.95" customHeight="1" x14ac:dyDescent="0.3">
      <c r="A75" s="472"/>
      <c r="B75" s="476"/>
      <c r="C75" s="450"/>
      <c r="D75" s="450"/>
      <c r="E75" s="438"/>
      <c r="F75" s="4" t="s">
        <v>99</v>
      </c>
      <c r="G75" s="8">
        <v>5</v>
      </c>
    </row>
    <row r="76" spans="1:7" ht="28.8" x14ac:dyDescent="0.3">
      <c r="A76" s="472"/>
      <c r="B76" s="476"/>
      <c r="C76" s="450"/>
      <c r="D76" s="450"/>
      <c r="E76" s="170" t="s">
        <v>577</v>
      </c>
      <c r="F76" s="4" t="s">
        <v>425</v>
      </c>
      <c r="G76" s="5">
        <v>5</v>
      </c>
    </row>
    <row r="77" spans="1:7" ht="28.8" x14ac:dyDescent="0.3">
      <c r="A77" s="472"/>
      <c r="B77" s="476"/>
      <c r="C77" s="450"/>
      <c r="D77" s="450"/>
      <c r="E77" s="170" t="s">
        <v>580</v>
      </c>
      <c r="F77" s="4" t="s">
        <v>426</v>
      </c>
      <c r="G77" s="5">
        <v>5</v>
      </c>
    </row>
    <row r="78" spans="1:7" ht="28.8" x14ac:dyDescent="0.3">
      <c r="A78" s="472"/>
      <c r="B78" s="476"/>
      <c r="C78" s="450"/>
      <c r="D78" s="450"/>
      <c r="E78" s="170" t="s">
        <v>581</v>
      </c>
      <c r="F78" s="4" t="s">
        <v>427</v>
      </c>
      <c r="G78" s="5">
        <v>5</v>
      </c>
    </row>
    <row r="79" spans="1:7" ht="28.8" x14ac:dyDescent="0.3">
      <c r="A79" s="472"/>
      <c r="B79" s="476"/>
      <c r="C79" s="450"/>
      <c r="D79" s="450"/>
      <c r="E79" s="170" t="s">
        <v>578</v>
      </c>
      <c r="F79" s="4" t="s">
        <v>428</v>
      </c>
      <c r="G79" s="5">
        <v>5</v>
      </c>
    </row>
    <row r="80" spans="1:7" ht="29.4" thickBot="1" x14ac:dyDescent="0.35">
      <c r="A80" s="473"/>
      <c r="B80" s="477"/>
      <c r="C80" s="474"/>
      <c r="D80" s="474"/>
      <c r="E80" s="171" t="s">
        <v>579</v>
      </c>
      <c r="F80" s="6" t="s">
        <v>429</v>
      </c>
      <c r="G80" s="7">
        <v>5</v>
      </c>
    </row>
    <row r="81" spans="1:7" ht="14.4" customHeight="1" x14ac:dyDescent="0.3">
      <c r="A81" s="471" t="s">
        <v>214</v>
      </c>
      <c r="B81" s="452" t="s">
        <v>4</v>
      </c>
      <c r="C81" s="441" t="s">
        <v>216</v>
      </c>
      <c r="D81" s="441" t="s">
        <v>217</v>
      </c>
      <c r="E81" s="441" t="s">
        <v>230</v>
      </c>
      <c r="F81" s="2" t="s">
        <v>103</v>
      </c>
      <c r="G81" s="9">
        <v>6</v>
      </c>
    </row>
    <row r="82" spans="1:7" ht="14.4" customHeight="1" x14ac:dyDescent="0.3">
      <c r="A82" s="472"/>
      <c r="B82" s="450"/>
      <c r="C82" s="442"/>
      <c r="D82" s="442"/>
      <c r="E82" s="442"/>
      <c r="F82" s="4" t="s">
        <v>102</v>
      </c>
      <c r="G82" s="8">
        <v>6</v>
      </c>
    </row>
    <row r="83" spans="1:7" x14ac:dyDescent="0.3">
      <c r="A83" s="472"/>
      <c r="B83" s="450"/>
      <c r="C83" s="442"/>
      <c r="D83" s="442"/>
      <c r="E83" s="442"/>
      <c r="F83" s="4" t="s">
        <v>231</v>
      </c>
      <c r="G83" s="8">
        <v>6</v>
      </c>
    </row>
    <row r="84" spans="1:7" x14ac:dyDescent="0.3">
      <c r="A84" s="472"/>
      <c r="B84" s="450"/>
      <c r="C84" s="442"/>
      <c r="D84" s="442" t="s">
        <v>232</v>
      </c>
      <c r="E84" s="438" t="s">
        <v>233</v>
      </c>
      <c r="F84" s="4" t="s">
        <v>91</v>
      </c>
      <c r="G84" s="8">
        <v>6</v>
      </c>
    </row>
    <row r="85" spans="1:7" x14ac:dyDescent="0.3">
      <c r="A85" s="472"/>
      <c r="B85" s="450"/>
      <c r="C85" s="442"/>
      <c r="D85" s="442"/>
      <c r="E85" s="438"/>
      <c r="F85" s="4" t="s">
        <v>93</v>
      </c>
      <c r="G85" s="8">
        <v>6</v>
      </c>
    </row>
    <row r="86" spans="1:7" x14ac:dyDescent="0.3">
      <c r="A86" s="472"/>
      <c r="B86" s="450"/>
      <c r="C86" s="442"/>
      <c r="D86" s="442"/>
      <c r="E86" s="438" t="s">
        <v>234</v>
      </c>
      <c r="F86" s="4" t="s">
        <v>94</v>
      </c>
      <c r="G86" s="8">
        <v>6</v>
      </c>
    </row>
    <row r="87" spans="1:7" x14ac:dyDescent="0.3">
      <c r="A87" s="472"/>
      <c r="B87" s="450"/>
      <c r="C87" s="442"/>
      <c r="D87" s="442"/>
      <c r="E87" s="438"/>
      <c r="F87" s="4" t="s">
        <v>95</v>
      </c>
      <c r="G87" s="8">
        <v>6</v>
      </c>
    </row>
    <row r="88" spans="1:7" x14ac:dyDescent="0.3">
      <c r="A88" s="472"/>
      <c r="B88" s="450"/>
      <c r="C88" s="442"/>
      <c r="D88" s="442"/>
      <c r="E88" s="438"/>
      <c r="F88" s="4" t="s">
        <v>96</v>
      </c>
      <c r="G88" s="8">
        <v>6</v>
      </c>
    </row>
    <row r="89" spans="1:7" x14ac:dyDescent="0.3">
      <c r="A89" s="472"/>
      <c r="B89" s="450"/>
      <c r="C89" s="442"/>
      <c r="D89" s="442"/>
      <c r="E89" s="438"/>
      <c r="F89" s="4" t="s">
        <v>97</v>
      </c>
      <c r="G89" s="8">
        <v>6</v>
      </c>
    </row>
    <row r="90" spans="1:7" x14ac:dyDescent="0.3">
      <c r="A90" s="472"/>
      <c r="B90" s="450"/>
      <c r="C90" s="442"/>
      <c r="D90" s="442"/>
      <c r="E90" s="438"/>
      <c r="F90" s="4" t="s">
        <v>98</v>
      </c>
      <c r="G90" s="8">
        <v>6</v>
      </c>
    </row>
    <row r="91" spans="1:7" x14ac:dyDescent="0.3">
      <c r="A91" s="472"/>
      <c r="B91" s="450"/>
      <c r="C91" s="442"/>
      <c r="D91" s="442"/>
      <c r="E91" s="438"/>
      <c r="F91" s="4" t="s">
        <v>99</v>
      </c>
      <c r="G91" s="8">
        <v>6</v>
      </c>
    </row>
    <row r="92" spans="1:7" ht="14.4" customHeight="1" x14ac:dyDescent="0.3">
      <c r="A92" s="472"/>
      <c r="B92" s="450"/>
      <c r="C92" s="449" t="s">
        <v>235</v>
      </c>
      <c r="D92" s="442" t="s">
        <v>217</v>
      </c>
      <c r="E92" s="438" t="s">
        <v>239</v>
      </c>
      <c r="F92" s="4" t="s">
        <v>100</v>
      </c>
      <c r="G92" s="8">
        <v>6</v>
      </c>
    </row>
    <row r="93" spans="1:7" x14ac:dyDescent="0.3">
      <c r="A93" s="472"/>
      <c r="B93" s="450"/>
      <c r="C93" s="450"/>
      <c r="D93" s="442"/>
      <c r="E93" s="438"/>
      <c r="F93" s="4" t="s">
        <v>101</v>
      </c>
      <c r="G93" s="8">
        <v>6</v>
      </c>
    </row>
    <row r="94" spans="1:7" x14ac:dyDescent="0.3">
      <c r="A94" s="472"/>
      <c r="B94" s="450"/>
      <c r="C94" s="450"/>
      <c r="D94" s="449" t="s">
        <v>232</v>
      </c>
      <c r="E94" s="438" t="s">
        <v>240</v>
      </c>
      <c r="F94" s="4" t="s">
        <v>90</v>
      </c>
      <c r="G94" s="8">
        <v>6</v>
      </c>
    </row>
    <row r="95" spans="1:7" x14ac:dyDescent="0.3">
      <c r="A95" s="472"/>
      <c r="B95" s="450"/>
      <c r="C95" s="450"/>
      <c r="D95" s="450"/>
      <c r="E95" s="438"/>
      <c r="F95" s="4" t="s">
        <v>92</v>
      </c>
      <c r="G95" s="8">
        <v>6</v>
      </c>
    </row>
    <row r="96" spans="1:7" x14ac:dyDescent="0.3">
      <c r="A96" s="472"/>
      <c r="B96" s="450"/>
      <c r="C96" s="450"/>
      <c r="D96" s="450"/>
      <c r="E96" s="438" t="s">
        <v>234</v>
      </c>
      <c r="F96" s="4" t="s">
        <v>94</v>
      </c>
      <c r="G96" s="8">
        <v>6</v>
      </c>
    </row>
    <row r="97" spans="1:7" x14ac:dyDescent="0.3">
      <c r="A97" s="472"/>
      <c r="B97" s="450"/>
      <c r="C97" s="450"/>
      <c r="D97" s="450"/>
      <c r="E97" s="438"/>
      <c r="F97" s="4" t="s">
        <v>95</v>
      </c>
      <c r="G97" s="8">
        <v>6</v>
      </c>
    </row>
    <row r="98" spans="1:7" x14ac:dyDescent="0.3">
      <c r="A98" s="472"/>
      <c r="B98" s="450"/>
      <c r="C98" s="450"/>
      <c r="D98" s="450"/>
      <c r="E98" s="438"/>
      <c r="F98" s="4" t="s">
        <v>96</v>
      </c>
      <c r="G98" s="8">
        <v>6</v>
      </c>
    </row>
    <row r="99" spans="1:7" x14ac:dyDescent="0.3">
      <c r="A99" s="472"/>
      <c r="B99" s="450"/>
      <c r="C99" s="450"/>
      <c r="D99" s="450"/>
      <c r="E99" s="438"/>
      <c r="F99" s="4" t="s">
        <v>97</v>
      </c>
      <c r="G99" s="8">
        <v>6</v>
      </c>
    </row>
    <row r="100" spans="1:7" x14ac:dyDescent="0.3">
      <c r="A100" s="472"/>
      <c r="B100" s="450"/>
      <c r="C100" s="450"/>
      <c r="D100" s="450"/>
      <c r="E100" s="438"/>
      <c r="F100" s="4" t="s">
        <v>98</v>
      </c>
      <c r="G100" s="8">
        <v>6</v>
      </c>
    </row>
    <row r="101" spans="1:7" x14ac:dyDescent="0.3">
      <c r="A101" s="472"/>
      <c r="B101" s="450"/>
      <c r="C101" s="450"/>
      <c r="D101" s="450"/>
      <c r="E101" s="438"/>
      <c r="F101" s="4" t="s">
        <v>99</v>
      </c>
      <c r="G101" s="8">
        <v>6</v>
      </c>
    </row>
    <row r="102" spans="1:7" ht="28.8" x14ac:dyDescent="0.3">
      <c r="A102" s="472"/>
      <c r="B102" s="450"/>
      <c r="C102" s="450"/>
      <c r="D102" s="450"/>
      <c r="E102" s="170" t="s">
        <v>577</v>
      </c>
      <c r="F102" s="4" t="s">
        <v>425</v>
      </c>
      <c r="G102" s="5">
        <v>6</v>
      </c>
    </row>
    <row r="103" spans="1:7" ht="28.8" x14ac:dyDescent="0.3">
      <c r="A103" s="472"/>
      <c r="B103" s="450"/>
      <c r="C103" s="450"/>
      <c r="D103" s="450"/>
      <c r="E103" s="170" t="s">
        <v>580</v>
      </c>
      <c r="F103" s="4" t="s">
        <v>426</v>
      </c>
      <c r="G103" s="5">
        <v>6</v>
      </c>
    </row>
    <row r="104" spans="1:7" ht="28.8" x14ac:dyDescent="0.3">
      <c r="A104" s="472"/>
      <c r="B104" s="450"/>
      <c r="C104" s="450"/>
      <c r="D104" s="450"/>
      <c r="E104" s="170" t="s">
        <v>581</v>
      </c>
      <c r="F104" s="4" t="s">
        <v>427</v>
      </c>
      <c r="G104" s="5">
        <v>6</v>
      </c>
    </row>
    <row r="105" spans="1:7" ht="28.8" x14ac:dyDescent="0.3">
      <c r="A105" s="472"/>
      <c r="B105" s="450"/>
      <c r="C105" s="450"/>
      <c r="D105" s="450"/>
      <c r="E105" s="170" t="s">
        <v>578</v>
      </c>
      <c r="F105" s="4" t="s">
        <v>428</v>
      </c>
      <c r="G105" s="5">
        <v>6</v>
      </c>
    </row>
    <row r="106" spans="1:7" ht="29.4" thickBot="1" x14ac:dyDescent="0.35">
      <c r="A106" s="473"/>
      <c r="B106" s="474"/>
      <c r="C106" s="474"/>
      <c r="D106" s="474"/>
      <c r="E106" s="171" t="s">
        <v>579</v>
      </c>
      <c r="F106" s="6" t="s">
        <v>429</v>
      </c>
      <c r="G106" s="7">
        <v>6</v>
      </c>
    </row>
    <row r="107" spans="1:7" ht="14.4" customHeight="1" x14ac:dyDescent="0.3">
      <c r="A107" s="445" t="s">
        <v>214</v>
      </c>
      <c r="B107" s="441" t="s">
        <v>179</v>
      </c>
      <c r="C107" s="439" t="s">
        <v>216</v>
      </c>
      <c r="D107" s="441" t="s">
        <v>217</v>
      </c>
      <c r="E107" s="443" t="s">
        <v>230</v>
      </c>
      <c r="F107" s="2" t="s">
        <v>103</v>
      </c>
      <c r="G107" s="9">
        <v>7</v>
      </c>
    </row>
    <row r="108" spans="1:7" x14ac:dyDescent="0.3">
      <c r="A108" s="446"/>
      <c r="B108" s="442"/>
      <c r="C108" s="440"/>
      <c r="D108" s="442"/>
      <c r="E108" s="438"/>
      <c r="F108" s="4" t="s">
        <v>102</v>
      </c>
      <c r="G108" s="8">
        <v>7</v>
      </c>
    </row>
    <row r="109" spans="1:7" x14ac:dyDescent="0.3">
      <c r="A109" s="446"/>
      <c r="B109" s="442"/>
      <c r="C109" s="440"/>
      <c r="D109" s="442"/>
      <c r="E109" s="438"/>
      <c r="F109" s="4" t="s">
        <v>231</v>
      </c>
      <c r="G109" s="8">
        <v>7</v>
      </c>
    </row>
    <row r="110" spans="1:7" x14ac:dyDescent="0.3">
      <c r="A110" s="446"/>
      <c r="B110" s="442"/>
      <c r="C110" s="440"/>
      <c r="D110" s="442" t="s">
        <v>232</v>
      </c>
      <c r="E110" s="438" t="s">
        <v>233</v>
      </c>
      <c r="F110" s="4" t="s">
        <v>91</v>
      </c>
      <c r="G110" s="8">
        <v>7</v>
      </c>
    </row>
    <row r="111" spans="1:7" x14ac:dyDescent="0.3">
      <c r="A111" s="446"/>
      <c r="B111" s="442"/>
      <c r="C111" s="440"/>
      <c r="D111" s="442"/>
      <c r="E111" s="438"/>
      <c r="F111" s="4" t="s">
        <v>93</v>
      </c>
      <c r="G111" s="8">
        <v>7</v>
      </c>
    </row>
    <row r="112" spans="1:7" x14ac:dyDescent="0.3">
      <c r="A112" s="446"/>
      <c r="B112" s="442"/>
      <c r="C112" s="440"/>
      <c r="D112" s="442"/>
      <c r="E112" s="438" t="s">
        <v>234</v>
      </c>
      <c r="F112" s="4" t="s">
        <v>94</v>
      </c>
      <c r="G112" s="8">
        <v>7</v>
      </c>
    </row>
    <row r="113" spans="1:7" x14ac:dyDescent="0.3">
      <c r="A113" s="446"/>
      <c r="B113" s="442"/>
      <c r="C113" s="440"/>
      <c r="D113" s="442"/>
      <c r="E113" s="438"/>
      <c r="F113" s="4" t="s">
        <v>95</v>
      </c>
      <c r="G113" s="8">
        <v>7</v>
      </c>
    </row>
    <row r="114" spans="1:7" x14ac:dyDescent="0.3">
      <c r="A114" s="446"/>
      <c r="B114" s="442"/>
      <c r="C114" s="440"/>
      <c r="D114" s="442"/>
      <c r="E114" s="438"/>
      <c r="F114" s="4" t="s">
        <v>96</v>
      </c>
      <c r="G114" s="8">
        <v>7</v>
      </c>
    </row>
    <row r="115" spans="1:7" x14ac:dyDescent="0.3">
      <c r="A115" s="446"/>
      <c r="B115" s="442"/>
      <c r="C115" s="440"/>
      <c r="D115" s="442"/>
      <c r="E115" s="438"/>
      <c r="F115" s="4" t="s">
        <v>97</v>
      </c>
      <c r="G115" s="8">
        <v>7</v>
      </c>
    </row>
    <row r="116" spans="1:7" x14ac:dyDescent="0.3">
      <c r="A116" s="446"/>
      <c r="B116" s="442"/>
      <c r="C116" s="440"/>
      <c r="D116" s="442"/>
      <c r="E116" s="438"/>
      <c r="F116" s="4" t="s">
        <v>98</v>
      </c>
      <c r="G116" s="8">
        <v>7</v>
      </c>
    </row>
    <row r="117" spans="1:7" x14ac:dyDescent="0.3">
      <c r="A117" s="446"/>
      <c r="B117" s="442"/>
      <c r="C117" s="440"/>
      <c r="D117" s="442"/>
      <c r="E117" s="438"/>
      <c r="F117" s="4" t="s">
        <v>99</v>
      </c>
      <c r="G117" s="8">
        <v>7</v>
      </c>
    </row>
    <row r="118" spans="1:7" x14ac:dyDescent="0.3">
      <c r="A118" s="446"/>
      <c r="B118" s="442"/>
      <c r="C118" s="442" t="s">
        <v>235</v>
      </c>
      <c r="D118" s="440" t="s">
        <v>217</v>
      </c>
      <c r="E118" s="438" t="s">
        <v>239</v>
      </c>
      <c r="F118" s="4" t="s">
        <v>100</v>
      </c>
      <c r="G118" s="8">
        <v>7</v>
      </c>
    </row>
    <row r="119" spans="1:7" x14ac:dyDescent="0.3">
      <c r="A119" s="446"/>
      <c r="B119" s="442"/>
      <c r="C119" s="442"/>
      <c r="D119" s="440"/>
      <c r="E119" s="438"/>
      <c r="F119" s="4" t="s">
        <v>101</v>
      </c>
      <c r="G119" s="8">
        <v>7</v>
      </c>
    </row>
    <row r="120" spans="1:7" x14ac:dyDescent="0.3">
      <c r="A120" s="446"/>
      <c r="B120" s="442"/>
      <c r="C120" s="442"/>
      <c r="D120" s="442" t="s">
        <v>232</v>
      </c>
      <c r="E120" s="438" t="s">
        <v>240</v>
      </c>
      <c r="F120" s="4" t="s">
        <v>90</v>
      </c>
      <c r="G120" s="8">
        <v>7</v>
      </c>
    </row>
    <row r="121" spans="1:7" x14ac:dyDescent="0.3">
      <c r="A121" s="446"/>
      <c r="B121" s="442"/>
      <c r="C121" s="442"/>
      <c r="D121" s="442"/>
      <c r="E121" s="438"/>
      <c r="F121" s="4" t="s">
        <v>92</v>
      </c>
      <c r="G121" s="8">
        <v>7</v>
      </c>
    </row>
    <row r="122" spans="1:7" x14ac:dyDescent="0.3">
      <c r="A122" s="446"/>
      <c r="B122" s="442"/>
      <c r="C122" s="442"/>
      <c r="D122" s="442"/>
      <c r="E122" s="438" t="s">
        <v>234</v>
      </c>
      <c r="F122" s="4" t="s">
        <v>94</v>
      </c>
      <c r="G122" s="8">
        <v>7</v>
      </c>
    </row>
    <row r="123" spans="1:7" x14ac:dyDescent="0.3">
      <c r="A123" s="446"/>
      <c r="B123" s="442"/>
      <c r="C123" s="442"/>
      <c r="D123" s="442"/>
      <c r="E123" s="438"/>
      <c r="F123" s="4" t="s">
        <v>95</v>
      </c>
      <c r="G123" s="8">
        <v>7</v>
      </c>
    </row>
    <row r="124" spans="1:7" x14ac:dyDescent="0.3">
      <c r="A124" s="446"/>
      <c r="B124" s="442"/>
      <c r="C124" s="442"/>
      <c r="D124" s="442"/>
      <c r="E124" s="438"/>
      <c r="F124" s="4" t="s">
        <v>96</v>
      </c>
      <c r="G124" s="8">
        <v>7</v>
      </c>
    </row>
    <row r="125" spans="1:7" x14ac:dyDescent="0.3">
      <c r="A125" s="446"/>
      <c r="B125" s="442"/>
      <c r="C125" s="442"/>
      <c r="D125" s="442"/>
      <c r="E125" s="438"/>
      <c r="F125" s="4" t="s">
        <v>97</v>
      </c>
      <c r="G125" s="8">
        <v>7</v>
      </c>
    </row>
    <row r="126" spans="1:7" x14ac:dyDescent="0.3">
      <c r="A126" s="446"/>
      <c r="B126" s="442"/>
      <c r="C126" s="442"/>
      <c r="D126" s="442"/>
      <c r="E126" s="438"/>
      <c r="F126" s="4" t="s">
        <v>98</v>
      </c>
      <c r="G126" s="8">
        <v>7</v>
      </c>
    </row>
    <row r="127" spans="1:7" x14ac:dyDescent="0.3">
      <c r="A127" s="446"/>
      <c r="B127" s="442"/>
      <c r="C127" s="442"/>
      <c r="D127" s="442"/>
      <c r="E127" s="438"/>
      <c r="F127" s="4" t="s">
        <v>99</v>
      </c>
      <c r="G127" s="8">
        <v>7</v>
      </c>
    </row>
    <row r="128" spans="1:7" ht="28.8" x14ac:dyDescent="0.3">
      <c r="A128" s="446"/>
      <c r="B128" s="442"/>
      <c r="C128" s="442"/>
      <c r="D128" s="442"/>
      <c r="E128" s="170" t="s">
        <v>577</v>
      </c>
      <c r="F128" s="4" t="s">
        <v>425</v>
      </c>
      <c r="G128" s="5">
        <v>7</v>
      </c>
    </row>
    <row r="129" spans="1:7" ht="28.8" x14ac:dyDescent="0.3">
      <c r="A129" s="446"/>
      <c r="B129" s="442"/>
      <c r="C129" s="442"/>
      <c r="D129" s="442"/>
      <c r="E129" s="170" t="s">
        <v>580</v>
      </c>
      <c r="F129" s="4" t="s">
        <v>426</v>
      </c>
      <c r="G129" s="5">
        <v>7</v>
      </c>
    </row>
    <row r="130" spans="1:7" ht="28.8" x14ac:dyDescent="0.3">
      <c r="A130" s="446"/>
      <c r="B130" s="442"/>
      <c r="C130" s="442"/>
      <c r="D130" s="442"/>
      <c r="E130" s="170" t="s">
        <v>581</v>
      </c>
      <c r="F130" s="4" t="s">
        <v>427</v>
      </c>
      <c r="G130" s="5">
        <v>7</v>
      </c>
    </row>
    <row r="131" spans="1:7" ht="28.8" x14ac:dyDescent="0.3">
      <c r="A131" s="446"/>
      <c r="B131" s="442"/>
      <c r="C131" s="442"/>
      <c r="D131" s="442"/>
      <c r="E131" s="170" t="s">
        <v>578</v>
      </c>
      <c r="F131" s="4" t="s">
        <v>428</v>
      </c>
      <c r="G131" s="5">
        <v>7</v>
      </c>
    </row>
    <row r="132" spans="1:7" ht="29.4" thickBot="1" x14ac:dyDescent="0.35">
      <c r="A132" s="447"/>
      <c r="B132" s="444"/>
      <c r="C132" s="444"/>
      <c r="D132" s="444"/>
      <c r="E132" s="171" t="s">
        <v>579</v>
      </c>
      <c r="F132" s="6" t="s">
        <v>429</v>
      </c>
      <c r="G132" s="7">
        <v>7</v>
      </c>
    </row>
  </sheetData>
  <sheetProtection algorithmName="SHA-512" hashValue="YZ1aDjYg3LiD2UJE82FXVvFiT42WC99gI9UuIV8bG02PrwHgI/uYVqAZWn+K6FqLoO2hVdnYvZW11+HXUMMeJg==" saltValue="79tAJt1YV288QZ7wJfIVuQ==" spinCount="100000" sheet="1" objects="1" scenarios="1" selectLockedCells="1"/>
  <mergeCells count="85">
    <mergeCell ref="B107:B132"/>
    <mergeCell ref="A107:A132"/>
    <mergeCell ref="A55:A80"/>
    <mergeCell ref="D94:D106"/>
    <mergeCell ref="C92:C106"/>
    <mergeCell ref="B81:B106"/>
    <mergeCell ref="A81:A106"/>
    <mergeCell ref="C81:C91"/>
    <mergeCell ref="D81:D83"/>
    <mergeCell ref="B55:B80"/>
    <mergeCell ref="D70:D80"/>
    <mergeCell ref="C66:C80"/>
    <mergeCell ref="D92:D93"/>
    <mergeCell ref="B10:B15"/>
    <mergeCell ref="C10:C15"/>
    <mergeCell ref="D10:D15"/>
    <mergeCell ref="E10:E15"/>
    <mergeCell ref="A1:G1"/>
    <mergeCell ref="A2:A3"/>
    <mergeCell ref="B2:B3"/>
    <mergeCell ref="C2:C3"/>
    <mergeCell ref="D2:D3"/>
    <mergeCell ref="E2:E3"/>
    <mergeCell ref="F2:F3"/>
    <mergeCell ref="G2:G3"/>
    <mergeCell ref="D32:D44"/>
    <mergeCell ref="C19:C44"/>
    <mergeCell ref="A4:A9"/>
    <mergeCell ref="B4:B9"/>
    <mergeCell ref="C4:C9"/>
    <mergeCell ref="D4:D9"/>
    <mergeCell ref="A16:G16"/>
    <mergeCell ref="A17:A18"/>
    <mergeCell ref="B17:B18"/>
    <mergeCell ref="C17:C18"/>
    <mergeCell ref="D17:D18"/>
    <mergeCell ref="E17:E18"/>
    <mergeCell ref="F17:F18"/>
    <mergeCell ref="G17:G18"/>
    <mergeCell ref="E4:E9"/>
    <mergeCell ref="A10:A15"/>
    <mergeCell ref="E92:E93"/>
    <mergeCell ref="A19:A54"/>
    <mergeCell ref="B19:B54"/>
    <mergeCell ref="D19:D28"/>
    <mergeCell ref="E19:E24"/>
    <mergeCell ref="E25:E28"/>
    <mergeCell ref="D29:D31"/>
    <mergeCell ref="E29:E31"/>
    <mergeCell ref="E32:E33"/>
    <mergeCell ref="E34:E39"/>
    <mergeCell ref="C45:C54"/>
    <mergeCell ref="D45:D46"/>
    <mergeCell ref="D47:D48"/>
    <mergeCell ref="E47:E48"/>
    <mergeCell ref="D49:D54"/>
    <mergeCell ref="E49:E54"/>
    <mergeCell ref="E94:E95"/>
    <mergeCell ref="E96:E101"/>
    <mergeCell ref="C55:C65"/>
    <mergeCell ref="D55:D57"/>
    <mergeCell ref="E55:E57"/>
    <mergeCell ref="D58:D65"/>
    <mergeCell ref="E58:E59"/>
    <mergeCell ref="E60:E65"/>
    <mergeCell ref="D66:D67"/>
    <mergeCell ref="D68:D69"/>
    <mergeCell ref="E68:E69"/>
    <mergeCell ref="E70:E75"/>
    <mergeCell ref="E81:E83"/>
    <mergeCell ref="D84:D91"/>
    <mergeCell ref="E84:E85"/>
    <mergeCell ref="E86:E91"/>
    <mergeCell ref="E118:E119"/>
    <mergeCell ref="E120:E121"/>
    <mergeCell ref="E122:E127"/>
    <mergeCell ref="C107:C117"/>
    <mergeCell ref="D107:D109"/>
    <mergeCell ref="E107:E109"/>
    <mergeCell ref="D110:D117"/>
    <mergeCell ref="E110:E111"/>
    <mergeCell ref="E112:E117"/>
    <mergeCell ref="D118:D119"/>
    <mergeCell ref="D120:D132"/>
    <mergeCell ref="C118:C13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8" fitToHeight="0" orientation="landscape" r:id="rId1"/>
  <headerFooter>
    <oddHeader>&amp;CVersion 2 : 2017-04-27</oddHeader>
    <oddFooter>&amp;L&amp;A&amp;R&amp;P de &amp;N</oddFooter>
  </headerFooter>
  <rowBreaks count="4" manualBreakCount="4">
    <brk id="15" max="6" man="1"/>
    <brk id="54" max="6" man="1"/>
    <brk id="80" max="6" man="1"/>
    <brk id="10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8">
    <pageSetUpPr fitToPage="1"/>
  </sheetPr>
  <dimension ref="A1:AW81"/>
  <sheetViews>
    <sheetView zoomScale="90" zoomScaleNormal="90" workbookViewId="0">
      <selection sqref="A1:AA1"/>
    </sheetView>
  </sheetViews>
  <sheetFormatPr baseColWidth="10" defaultRowHeight="14.4" x14ac:dyDescent="0.3"/>
  <cols>
    <col min="1" max="1" width="8.109375" style="11" customWidth="1"/>
    <col min="2" max="2" width="2.6640625" style="11" customWidth="1"/>
    <col min="3" max="3" width="3.77734375" style="11" customWidth="1"/>
    <col min="4" max="4" width="8.77734375" style="11" customWidth="1"/>
    <col min="5" max="5" width="3.77734375" style="11" customWidth="1"/>
    <col min="6" max="6" width="8.77734375" style="11" customWidth="1"/>
    <col min="7" max="7" width="3.77734375" style="11" customWidth="1"/>
    <col min="8" max="8" width="8.77734375" style="11" customWidth="1"/>
    <col min="9" max="9" width="3.77734375" style="11" customWidth="1"/>
    <col min="10" max="10" width="2.5546875" style="23" customWidth="1"/>
    <col min="11" max="11" width="1.6640625" style="11" customWidth="1"/>
    <col min="12" max="12" width="2.77734375" style="11" customWidth="1"/>
    <col min="13" max="13" width="3.44140625" style="11" customWidth="1"/>
    <col min="14" max="14" width="3.21875" style="11" customWidth="1"/>
    <col min="15" max="15" width="6.109375" style="11" customWidth="1"/>
    <col min="16" max="16" width="2.6640625" style="11" customWidth="1"/>
    <col min="17" max="17" width="4.109375" style="11" customWidth="1"/>
    <col min="18" max="18" width="6.6640625" style="11" customWidth="1"/>
    <col min="19" max="19" width="4.33203125" style="11" customWidth="1"/>
    <col min="20" max="20" width="8.5546875" style="215" customWidth="1"/>
    <col min="21" max="21" width="17" style="11" customWidth="1"/>
    <col min="22" max="22" width="1.6640625" style="11" customWidth="1"/>
    <col min="23" max="23" width="2.6640625" style="11" customWidth="1"/>
    <col min="24" max="24" width="3.77734375" style="11" customWidth="1"/>
    <col min="25" max="25" width="8.77734375" style="11" customWidth="1"/>
    <col min="26" max="26" width="3.77734375" style="11" customWidth="1"/>
    <col min="27" max="27" width="8.77734375" style="11" customWidth="1"/>
    <col min="28" max="28" width="3.77734375" style="11" customWidth="1"/>
    <col min="29" max="29" width="8.77734375" style="11" customWidth="1"/>
    <col min="30" max="30" width="3.77734375" style="11" customWidth="1"/>
    <col min="31" max="31" width="2.33203125" style="11" customWidth="1"/>
    <col min="32" max="32" width="3.77734375" style="11" customWidth="1"/>
    <col min="33" max="33" width="2.77734375" style="11" customWidth="1"/>
    <col min="34" max="34" width="3.44140625" style="11" customWidth="1"/>
    <col min="35" max="35" width="3.21875" style="11" customWidth="1"/>
    <col min="36" max="36" width="6.109375" style="11" customWidth="1"/>
    <col min="37" max="37" width="2.6640625" style="11" customWidth="1"/>
    <col min="38" max="38" width="1.77734375" style="11" customWidth="1"/>
    <col min="39" max="39" width="6.21875" style="11" customWidth="1"/>
    <col min="40" max="40" width="4.33203125" style="11" customWidth="1"/>
    <col min="41" max="41" width="8.5546875" style="11" customWidth="1"/>
    <col min="42" max="42" width="7.88671875" style="11" customWidth="1"/>
    <col min="43" max="43" width="2.5546875" style="11" customWidth="1"/>
    <col min="44" max="44" width="4.33203125" style="11" customWidth="1"/>
    <col min="45" max="45" width="8.5546875" style="11" customWidth="1"/>
    <col min="46" max="46" width="2.6640625" style="11" customWidth="1"/>
    <col min="47" max="47" width="3.77734375" style="11" customWidth="1"/>
    <col min="48" max="48" width="8.77734375" style="11" customWidth="1"/>
    <col min="49" max="49" width="3.77734375" style="11" customWidth="1"/>
    <col min="50" max="16384" width="11.5546875" style="11"/>
  </cols>
  <sheetData>
    <row r="1" spans="1:49" ht="21" x14ac:dyDescent="0.4">
      <c r="A1" s="480" t="s">
        <v>606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</row>
    <row r="2" spans="1:49" ht="10.8" customHeight="1" x14ac:dyDescent="0.3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</row>
    <row r="3" spans="1:49" ht="18.600000000000001" thickBot="1" x14ac:dyDescent="0.4">
      <c r="A3" s="204" t="s">
        <v>607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</row>
    <row r="4" spans="1:49" ht="18" x14ac:dyDescent="0.35">
      <c r="A4" s="481" t="s">
        <v>608</v>
      </c>
      <c r="B4" s="482"/>
      <c r="C4" s="205" t="s">
        <v>609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06"/>
      <c r="AC4" s="206"/>
      <c r="AD4" s="206"/>
      <c r="AE4" s="206"/>
      <c r="AF4" s="206"/>
      <c r="AG4" s="17"/>
    </row>
    <row r="5" spans="1:49" ht="18" x14ac:dyDescent="0.35">
      <c r="A5" s="483"/>
      <c r="B5" s="484"/>
      <c r="C5" s="207" t="s">
        <v>610</v>
      </c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9"/>
      <c r="W5" s="209"/>
      <c r="X5" s="209"/>
      <c r="Y5" s="209"/>
      <c r="Z5" s="209"/>
      <c r="AA5" s="209"/>
      <c r="AB5" s="23"/>
      <c r="AC5" s="23"/>
      <c r="AD5" s="23"/>
      <c r="AE5" s="23"/>
      <c r="AF5" s="23"/>
      <c r="AG5" s="18"/>
    </row>
    <row r="6" spans="1:49" ht="18" x14ac:dyDescent="0.35">
      <c r="A6" s="483"/>
      <c r="B6" s="484"/>
      <c r="C6" s="207" t="s">
        <v>611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9"/>
      <c r="W6" s="209"/>
      <c r="X6" s="209"/>
      <c r="Y6" s="209"/>
      <c r="Z6" s="209"/>
      <c r="AA6" s="209"/>
      <c r="AB6" s="23"/>
      <c r="AC6" s="23"/>
      <c r="AD6" s="23"/>
      <c r="AE6" s="23"/>
      <c r="AF6" s="23"/>
      <c r="AG6" s="18"/>
    </row>
    <row r="7" spans="1:49" ht="18" x14ac:dyDescent="0.35">
      <c r="A7" s="210"/>
      <c r="B7" s="209"/>
      <c r="C7" s="211" t="s">
        <v>612</v>
      </c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3"/>
      <c r="AC7" s="23"/>
      <c r="AD7" s="23"/>
      <c r="AE7" s="23"/>
      <c r="AF7" s="23"/>
      <c r="AG7" s="18"/>
    </row>
    <row r="8" spans="1:49" ht="18.600000000000001" thickBot="1" x14ac:dyDescent="0.4">
      <c r="A8" s="485" t="s">
        <v>613</v>
      </c>
      <c r="B8" s="486"/>
      <c r="C8" s="212" t="s">
        <v>614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13"/>
      <c r="AC8" s="213"/>
      <c r="AD8" s="213"/>
      <c r="AE8" s="213"/>
      <c r="AF8" s="213"/>
      <c r="AG8" s="19"/>
    </row>
    <row r="9" spans="1:49" ht="18" x14ac:dyDescent="0.35">
      <c r="A9" s="204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</row>
    <row r="10" spans="1:49" ht="19.8" x14ac:dyDescent="0.35">
      <c r="A10" s="214" t="s">
        <v>615</v>
      </c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T10" s="11"/>
      <c r="V10" s="214" t="s">
        <v>616</v>
      </c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</row>
    <row r="11" spans="1:49" ht="18.600000000000001" thickBot="1" x14ac:dyDescent="0.4">
      <c r="A11" s="204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R11" s="215"/>
      <c r="AS11" s="215"/>
      <c r="AT11" s="215"/>
      <c r="AU11" s="215"/>
      <c r="AV11" s="215"/>
      <c r="AW11" s="215"/>
    </row>
    <row r="12" spans="1:49" ht="18.600000000000001" thickBot="1" x14ac:dyDescent="0.4">
      <c r="A12" s="204"/>
      <c r="B12" s="487"/>
      <c r="C12" s="488"/>
      <c r="D12" s="488"/>
      <c r="E12" s="488"/>
      <c r="F12" s="488"/>
      <c r="G12" s="488"/>
      <c r="H12" s="488"/>
      <c r="I12" s="488"/>
      <c r="J12" s="489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W12" s="487"/>
      <c r="X12" s="488"/>
      <c r="Y12" s="488"/>
      <c r="Z12" s="488"/>
      <c r="AA12" s="488"/>
      <c r="AB12" s="488"/>
      <c r="AC12" s="488"/>
      <c r="AD12" s="488"/>
      <c r="AE12" s="488"/>
      <c r="AF12" s="488"/>
      <c r="AG12" s="488"/>
      <c r="AH12" s="488"/>
      <c r="AI12" s="488"/>
      <c r="AJ12" s="488"/>
      <c r="AK12" s="489"/>
      <c r="AL12" s="204"/>
      <c r="AM12" s="204"/>
      <c r="AN12" s="204"/>
      <c r="AO12" s="204"/>
      <c r="AP12" s="204"/>
      <c r="AQ12" s="204"/>
      <c r="AR12" s="215"/>
      <c r="AS12" s="215"/>
      <c r="AT12" s="215"/>
      <c r="AU12" s="215"/>
      <c r="AV12" s="215"/>
      <c r="AW12" s="215"/>
    </row>
    <row r="13" spans="1:49" ht="18" x14ac:dyDescent="0.35">
      <c r="A13" s="204"/>
      <c r="B13" s="216"/>
      <c r="C13" s="217"/>
      <c r="D13" s="218"/>
      <c r="E13" s="219"/>
      <c r="F13" s="218"/>
      <c r="G13" s="219"/>
      <c r="H13" s="218"/>
      <c r="I13" s="220"/>
      <c r="J13" s="221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W13" s="216"/>
      <c r="X13" s="217"/>
      <c r="Y13" s="219"/>
      <c r="Z13" s="218"/>
      <c r="AA13" s="218"/>
      <c r="AB13" s="219"/>
      <c r="AC13" s="219"/>
      <c r="AD13" s="218"/>
      <c r="AE13" s="218"/>
      <c r="AF13" s="218"/>
      <c r="AG13" s="218"/>
      <c r="AH13" s="219"/>
      <c r="AI13" s="219"/>
      <c r="AJ13" s="220"/>
      <c r="AK13" s="221"/>
      <c r="AL13" s="204"/>
      <c r="AM13" s="204"/>
      <c r="AN13" s="204"/>
      <c r="AO13" s="204"/>
      <c r="AP13" s="204"/>
      <c r="AQ13" s="204"/>
      <c r="AR13" s="215"/>
      <c r="AS13" s="490"/>
      <c r="AT13" s="490"/>
      <c r="AU13" s="490"/>
      <c r="AV13" s="490"/>
      <c r="AW13" s="490"/>
    </row>
    <row r="14" spans="1:49" ht="18" x14ac:dyDescent="0.35">
      <c r="A14" s="204"/>
      <c r="B14" s="216"/>
      <c r="C14" s="222"/>
      <c r="D14" s="223"/>
      <c r="E14" s="224"/>
      <c r="F14" s="223"/>
      <c r="G14" s="224"/>
      <c r="H14" s="223"/>
      <c r="I14" s="225"/>
      <c r="J14" s="221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W14" s="216"/>
      <c r="X14" s="222"/>
      <c r="Y14" s="224"/>
      <c r="Z14" s="223"/>
      <c r="AA14" s="223"/>
      <c r="AB14" s="224"/>
      <c r="AC14" s="224"/>
      <c r="AD14" s="223"/>
      <c r="AE14" s="223"/>
      <c r="AF14" s="223"/>
      <c r="AG14" s="223"/>
      <c r="AH14" s="224"/>
      <c r="AI14" s="224"/>
      <c r="AJ14" s="225"/>
      <c r="AK14" s="221"/>
      <c r="AL14" s="204"/>
      <c r="AM14" s="204"/>
      <c r="AN14" s="204"/>
      <c r="AO14" s="204"/>
      <c r="AP14" s="204"/>
      <c r="AQ14" s="204"/>
      <c r="AR14" s="215"/>
      <c r="AS14" s="490"/>
      <c r="AT14" s="490"/>
      <c r="AU14" s="490"/>
      <c r="AV14" s="490"/>
      <c r="AW14" s="490"/>
    </row>
    <row r="15" spans="1:49" ht="18" customHeight="1" thickBot="1" x14ac:dyDescent="0.4">
      <c r="A15" s="204"/>
      <c r="B15" s="216"/>
      <c r="C15" s="222"/>
      <c r="D15" s="223"/>
      <c r="E15" s="224"/>
      <c r="F15" s="223"/>
      <c r="G15" s="224"/>
      <c r="H15" s="223"/>
      <c r="I15" s="225"/>
      <c r="J15" s="221"/>
      <c r="K15" s="204"/>
      <c r="L15" s="204"/>
      <c r="M15" s="204"/>
      <c r="N15" s="491"/>
      <c r="O15" s="492"/>
      <c r="P15" s="492"/>
      <c r="Q15" s="492"/>
      <c r="R15" s="248"/>
      <c r="S15" s="248"/>
      <c r="T15" s="248"/>
      <c r="U15" s="204"/>
      <c r="W15" s="216"/>
      <c r="X15" s="222"/>
      <c r="Y15" s="224"/>
      <c r="Z15" s="223"/>
      <c r="AA15" s="223"/>
      <c r="AB15" s="224"/>
      <c r="AC15" s="224"/>
      <c r="AD15" s="223"/>
      <c r="AE15" s="223"/>
      <c r="AF15" s="223"/>
      <c r="AG15" s="223"/>
      <c r="AH15" s="224"/>
      <c r="AI15" s="224"/>
      <c r="AJ15" s="225"/>
      <c r="AK15" s="221"/>
      <c r="AL15" s="204"/>
      <c r="AM15" s="215"/>
      <c r="AN15" s="491"/>
      <c r="AO15" s="492"/>
      <c r="AP15" s="492"/>
      <c r="AQ15" s="492"/>
      <c r="AR15" s="215"/>
      <c r="AS15" s="215"/>
      <c r="AT15" s="215"/>
      <c r="AU15" s="215"/>
      <c r="AV15" s="215"/>
      <c r="AW15" s="215"/>
    </row>
    <row r="16" spans="1:49" ht="28.05" customHeight="1" thickBot="1" x14ac:dyDescent="0.4">
      <c r="A16" s="204"/>
      <c r="B16" s="216"/>
      <c r="C16" s="222"/>
      <c r="D16" s="223"/>
      <c r="E16" s="224"/>
      <c r="F16" s="223"/>
      <c r="G16" s="224"/>
      <c r="H16" s="223"/>
      <c r="I16" s="225"/>
      <c r="J16" s="221"/>
      <c r="K16" s="204"/>
      <c r="L16" s="493"/>
      <c r="M16" s="494"/>
      <c r="N16" s="226" t="s">
        <v>636</v>
      </c>
      <c r="T16" s="11"/>
      <c r="U16" s="204"/>
      <c r="W16" s="216"/>
      <c r="X16" s="222"/>
      <c r="Y16" s="224"/>
      <c r="Z16" s="223"/>
      <c r="AA16" s="223"/>
      <c r="AB16" s="224"/>
      <c r="AC16" s="224"/>
      <c r="AD16" s="223"/>
      <c r="AE16" s="223"/>
      <c r="AF16" s="223"/>
      <c r="AG16" s="223"/>
      <c r="AH16" s="224"/>
      <c r="AI16" s="224"/>
      <c r="AJ16" s="225"/>
      <c r="AK16" s="221"/>
      <c r="AL16" s="204"/>
      <c r="AM16" s="227"/>
      <c r="AN16" s="226" t="s">
        <v>617</v>
      </c>
      <c r="AU16" s="215"/>
    </row>
    <row r="17" spans="1:47" ht="28.05" customHeight="1" thickBot="1" x14ac:dyDescent="0.4">
      <c r="A17" s="204"/>
      <c r="B17" s="216"/>
      <c r="C17" s="222"/>
      <c r="D17" s="223"/>
      <c r="E17" s="224"/>
      <c r="F17" s="223"/>
      <c r="G17" s="224"/>
      <c r="H17" s="223"/>
      <c r="I17" s="225"/>
      <c r="J17" s="221"/>
      <c r="K17" s="204"/>
      <c r="L17" s="495"/>
      <c r="M17" s="496"/>
      <c r="N17" s="226" t="s">
        <v>637</v>
      </c>
      <c r="T17" s="11"/>
      <c r="U17" s="204"/>
      <c r="W17" s="216"/>
      <c r="X17" s="222"/>
      <c r="Y17" s="224"/>
      <c r="Z17" s="223"/>
      <c r="AA17" s="223"/>
      <c r="AB17" s="224"/>
      <c r="AC17" s="224"/>
      <c r="AD17" s="223"/>
      <c r="AE17" s="223"/>
      <c r="AF17" s="223"/>
      <c r="AG17" s="223"/>
      <c r="AH17" s="224"/>
      <c r="AI17" s="224"/>
      <c r="AJ17" s="225"/>
      <c r="AK17" s="221"/>
      <c r="AL17" s="204"/>
      <c r="AM17" s="243"/>
      <c r="AN17" s="226" t="s">
        <v>637</v>
      </c>
      <c r="AU17" s="215"/>
    </row>
    <row r="18" spans="1:47" ht="28.05" customHeight="1" thickBot="1" x14ac:dyDescent="0.35">
      <c r="B18" s="216"/>
      <c r="C18" s="222"/>
      <c r="D18" s="223"/>
      <c r="E18" s="224"/>
      <c r="F18" s="223"/>
      <c r="G18" s="224"/>
      <c r="H18" s="223"/>
      <c r="I18" s="225"/>
      <c r="J18" s="221"/>
      <c r="L18" s="478"/>
      <c r="M18" s="479"/>
      <c r="N18" s="226" t="s">
        <v>638</v>
      </c>
      <c r="T18" s="11"/>
      <c r="W18" s="216"/>
      <c r="X18" s="222"/>
      <c r="Y18" s="224"/>
      <c r="Z18" s="223"/>
      <c r="AA18" s="223"/>
      <c r="AB18" s="224"/>
      <c r="AC18" s="224"/>
      <c r="AD18" s="223"/>
      <c r="AE18" s="223"/>
      <c r="AF18" s="223"/>
      <c r="AG18" s="223"/>
      <c r="AH18" s="224"/>
      <c r="AI18" s="224"/>
      <c r="AJ18" s="225"/>
      <c r="AK18" s="221"/>
      <c r="AM18" s="228"/>
      <c r="AN18" s="226" t="s">
        <v>618</v>
      </c>
      <c r="AU18" s="215"/>
    </row>
    <row r="19" spans="1:47" ht="28.05" customHeight="1" thickBot="1" x14ac:dyDescent="0.35">
      <c r="B19" s="216"/>
      <c r="C19" s="222"/>
      <c r="D19" s="257" t="s">
        <v>639</v>
      </c>
      <c r="E19" s="224"/>
      <c r="F19" s="257" t="s">
        <v>639</v>
      </c>
      <c r="G19" s="224"/>
      <c r="H19" s="257" t="s">
        <v>639</v>
      </c>
      <c r="I19" s="225"/>
      <c r="J19" s="221"/>
      <c r="L19" s="509"/>
      <c r="M19" s="510"/>
      <c r="N19" s="226" t="s">
        <v>640</v>
      </c>
      <c r="T19" s="11"/>
      <c r="W19" s="216"/>
      <c r="X19" s="222"/>
      <c r="Y19" s="224"/>
      <c r="Z19" s="257" t="s">
        <v>619</v>
      </c>
      <c r="AA19" s="258" t="s">
        <v>619</v>
      </c>
      <c r="AB19" s="224"/>
      <c r="AC19" s="224"/>
      <c r="AD19" s="257" t="s">
        <v>619</v>
      </c>
      <c r="AE19" s="253"/>
      <c r="AF19" s="498" t="s">
        <v>619</v>
      </c>
      <c r="AG19" s="498"/>
      <c r="AH19" s="224"/>
      <c r="AI19" s="224"/>
      <c r="AJ19" s="225"/>
      <c r="AK19" s="221"/>
      <c r="AM19" s="259"/>
      <c r="AN19" s="226" t="s">
        <v>640</v>
      </c>
      <c r="AU19" s="215"/>
    </row>
    <row r="20" spans="1:47" x14ac:dyDescent="0.3">
      <c r="B20" s="216"/>
      <c r="C20" s="222"/>
      <c r="D20" s="223"/>
      <c r="E20" s="224"/>
      <c r="F20" s="223"/>
      <c r="G20" s="224"/>
      <c r="H20" s="223"/>
      <c r="I20" s="225"/>
      <c r="J20" s="221"/>
      <c r="T20" s="11"/>
      <c r="W20" s="216"/>
      <c r="X20" s="222"/>
      <c r="Y20" s="224"/>
      <c r="Z20" s="223"/>
      <c r="AA20" s="223"/>
      <c r="AB20" s="224"/>
      <c r="AC20" s="224"/>
      <c r="AD20" s="223"/>
      <c r="AE20" s="223"/>
      <c r="AF20" s="223"/>
      <c r="AG20" s="223"/>
      <c r="AH20" s="224"/>
      <c r="AI20" s="224"/>
      <c r="AJ20" s="225"/>
      <c r="AK20" s="221"/>
      <c r="AU20" s="215"/>
    </row>
    <row r="21" spans="1:47" x14ac:dyDescent="0.3">
      <c r="B21" s="216"/>
      <c r="C21" s="222"/>
      <c r="D21" s="223"/>
      <c r="E21" s="224"/>
      <c r="F21" s="223"/>
      <c r="G21" s="224"/>
      <c r="H21" s="223"/>
      <c r="I21" s="225"/>
      <c r="J21" s="221"/>
      <c r="T21" s="11"/>
      <c r="W21" s="216"/>
      <c r="X21" s="222"/>
      <c r="Y21" s="224"/>
      <c r="Z21" s="223"/>
      <c r="AA21" s="223"/>
      <c r="AB21" s="224"/>
      <c r="AC21" s="224"/>
      <c r="AD21" s="223"/>
      <c r="AE21" s="223"/>
      <c r="AF21" s="223"/>
      <c r="AG21" s="223"/>
      <c r="AH21" s="224"/>
      <c r="AI21" s="224"/>
      <c r="AJ21" s="225"/>
      <c r="AK21" s="221"/>
      <c r="AU21" s="215"/>
    </row>
    <row r="22" spans="1:47" x14ac:dyDescent="0.3">
      <c r="B22" s="216"/>
      <c r="C22" s="222"/>
      <c r="D22" s="223"/>
      <c r="E22" s="224"/>
      <c r="F22" s="223"/>
      <c r="G22" s="224"/>
      <c r="H22" s="223"/>
      <c r="I22" s="225"/>
      <c r="J22" s="221"/>
      <c r="L22" s="229" t="s">
        <v>641</v>
      </c>
      <c r="N22" s="229"/>
      <c r="O22" s="229"/>
      <c r="P22" s="229"/>
      <c r="Q22" s="229"/>
      <c r="R22" s="229"/>
      <c r="S22" s="229"/>
      <c r="T22" s="229"/>
      <c r="W22" s="216"/>
      <c r="X22" s="222"/>
      <c r="Y22" s="224"/>
      <c r="Z22" s="223"/>
      <c r="AA22" s="223"/>
      <c r="AB22" s="224"/>
      <c r="AC22" s="224"/>
      <c r="AD22" s="223"/>
      <c r="AE22" s="223"/>
      <c r="AF22" s="223"/>
      <c r="AG22" s="223"/>
      <c r="AH22" s="224"/>
      <c r="AI22" s="224"/>
      <c r="AJ22" s="225"/>
      <c r="AK22" s="221"/>
      <c r="AM22" s="229" t="s">
        <v>641</v>
      </c>
      <c r="AN22" s="229"/>
      <c r="AO22" s="229"/>
      <c r="AP22" s="229"/>
      <c r="AQ22" s="229"/>
      <c r="AU22" s="215"/>
    </row>
    <row r="23" spans="1:47" x14ac:dyDescent="0.3">
      <c r="B23" s="216"/>
      <c r="C23" s="222"/>
      <c r="D23" s="223"/>
      <c r="E23" s="224"/>
      <c r="F23" s="223"/>
      <c r="G23" s="224"/>
      <c r="H23" s="223"/>
      <c r="I23" s="225"/>
      <c r="J23" s="221"/>
      <c r="L23" s="229" t="s">
        <v>642</v>
      </c>
      <c r="N23" s="229"/>
      <c r="O23" s="229"/>
      <c r="P23" s="229"/>
      <c r="Q23" s="229"/>
      <c r="R23" s="229"/>
      <c r="S23" s="229"/>
      <c r="T23" s="229"/>
      <c r="W23" s="216"/>
      <c r="X23" s="222"/>
      <c r="Y23" s="224"/>
      <c r="Z23" s="223"/>
      <c r="AA23" s="223"/>
      <c r="AB23" s="224"/>
      <c r="AC23" s="224"/>
      <c r="AD23" s="223"/>
      <c r="AE23" s="223"/>
      <c r="AF23" s="223"/>
      <c r="AG23" s="223"/>
      <c r="AH23" s="224"/>
      <c r="AI23" s="224"/>
      <c r="AJ23" s="225"/>
      <c r="AK23" s="221"/>
      <c r="AM23" s="229" t="s">
        <v>642</v>
      </c>
      <c r="AN23" s="229"/>
      <c r="AO23" s="229"/>
      <c r="AP23" s="229"/>
      <c r="AQ23" s="229"/>
      <c r="AU23" s="215"/>
    </row>
    <row r="24" spans="1:47" x14ac:dyDescent="0.3">
      <c r="B24" s="216"/>
      <c r="C24" s="222"/>
      <c r="D24" s="223"/>
      <c r="E24" s="224"/>
      <c r="F24" s="223"/>
      <c r="G24" s="224"/>
      <c r="H24" s="223"/>
      <c r="I24" s="225"/>
      <c r="J24" s="221"/>
      <c r="L24" s="229" t="s">
        <v>643</v>
      </c>
      <c r="N24" s="229"/>
      <c r="O24" s="229"/>
      <c r="P24" s="229"/>
      <c r="Q24" s="229"/>
      <c r="R24" s="229"/>
      <c r="S24" s="229"/>
      <c r="T24" s="229"/>
      <c r="W24" s="216"/>
      <c r="X24" s="222"/>
      <c r="Y24" s="224"/>
      <c r="Z24" s="223"/>
      <c r="AA24" s="223"/>
      <c r="AB24" s="224"/>
      <c r="AC24" s="224"/>
      <c r="AD24" s="223"/>
      <c r="AE24" s="223"/>
      <c r="AF24" s="223"/>
      <c r="AG24" s="223"/>
      <c r="AH24" s="224"/>
      <c r="AI24" s="224"/>
      <c r="AJ24" s="225"/>
      <c r="AK24" s="221"/>
      <c r="AM24" s="229" t="s">
        <v>644</v>
      </c>
      <c r="AN24" s="229"/>
      <c r="AO24" s="229"/>
      <c r="AP24" s="229"/>
      <c r="AQ24" s="229"/>
      <c r="AU24" s="215"/>
    </row>
    <row r="25" spans="1:47" x14ac:dyDescent="0.3">
      <c r="B25" s="216"/>
      <c r="C25" s="222"/>
      <c r="D25" s="223"/>
      <c r="E25" s="224"/>
      <c r="F25" s="223"/>
      <c r="G25" s="224"/>
      <c r="H25" s="223"/>
      <c r="I25" s="225"/>
      <c r="J25" s="221"/>
      <c r="L25" s="230" t="s">
        <v>645</v>
      </c>
      <c r="T25" s="11"/>
      <c r="W25" s="216"/>
      <c r="X25" s="222"/>
      <c r="Y25" s="224"/>
      <c r="Z25" s="223"/>
      <c r="AA25" s="223"/>
      <c r="AB25" s="224"/>
      <c r="AC25" s="224"/>
      <c r="AD25" s="223"/>
      <c r="AE25" s="223"/>
      <c r="AF25" s="223"/>
      <c r="AG25" s="223"/>
      <c r="AH25" s="224"/>
      <c r="AI25" s="224"/>
      <c r="AJ25" s="225"/>
      <c r="AK25" s="221"/>
      <c r="AM25" s="230" t="s">
        <v>646</v>
      </c>
      <c r="AU25" s="215"/>
    </row>
    <row r="26" spans="1:47" ht="14.4" customHeight="1" x14ac:dyDescent="0.3">
      <c r="B26" s="216"/>
      <c r="C26" s="222"/>
      <c r="D26" s="223"/>
      <c r="E26" s="224"/>
      <c r="F26" s="223"/>
      <c r="G26" s="224"/>
      <c r="H26" s="223"/>
      <c r="I26" s="225"/>
      <c r="J26" s="221"/>
      <c r="L26" s="260"/>
      <c r="M26" s="260"/>
      <c r="N26" s="260"/>
      <c r="O26" s="260"/>
      <c r="P26" s="260"/>
      <c r="Q26" s="260"/>
      <c r="R26" s="260"/>
      <c r="S26" s="260"/>
      <c r="T26" s="11"/>
      <c r="W26" s="216"/>
      <c r="X26" s="222"/>
      <c r="Y26" s="224"/>
      <c r="Z26" s="223"/>
      <c r="AA26" s="223"/>
      <c r="AB26" s="224"/>
      <c r="AC26" s="224"/>
      <c r="AD26" s="223"/>
      <c r="AE26" s="223"/>
      <c r="AF26" s="223"/>
      <c r="AG26" s="223"/>
      <c r="AH26" s="224"/>
      <c r="AI26" s="224"/>
      <c r="AJ26" s="225"/>
      <c r="AK26" s="221"/>
      <c r="AU26" s="215"/>
    </row>
    <row r="27" spans="1:47" x14ac:dyDescent="0.3">
      <c r="B27" s="216"/>
      <c r="C27" s="222"/>
      <c r="D27" s="223"/>
      <c r="E27" s="224"/>
      <c r="F27" s="223"/>
      <c r="G27" s="224"/>
      <c r="H27" s="223"/>
      <c r="I27" s="225"/>
      <c r="J27" s="221"/>
      <c r="L27" s="260"/>
      <c r="M27" s="260"/>
      <c r="N27" s="260"/>
      <c r="O27" s="260"/>
      <c r="P27" s="260"/>
      <c r="Q27" s="260"/>
      <c r="R27" s="260"/>
      <c r="S27" s="260"/>
      <c r="T27" s="11"/>
      <c r="W27" s="216"/>
      <c r="X27" s="222"/>
      <c r="Y27" s="224"/>
      <c r="Z27" s="223"/>
      <c r="AA27" s="223"/>
      <c r="AB27" s="224"/>
      <c r="AC27" s="224"/>
      <c r="AD27" s="223"/>
      <c r="AE27" s="223"/>
      <c r="AF27" s="223"/>
      <c r="AG27" s="223"/>
      <c r="AH27" s="224"/>
      <c r="AI27" s="224"/>
      <c r="AJ27" s="225"/>
      <c r="AK27" s="221"/>
      <c r="AU27" s="215"/>
    </row>
    <row r="28" spans="1:47" x14ac:dyDescent="0.3">
      <c r="B28" s="216"/>
      <c r="C28" s="222"/>
      <c r="D28" s="223"/>
      <c r="E28" s="224"/>
      <c r="F28" s="223"/>
      <c r="G28" s="224"/>
      <c r="H28" s="223"/>
      <c r="I28" s="225"/>
      <c r="J28" s="221"/>
      <c r="T28" s="11"/>
      <c r="W28" s="216"/>
      <c r="X28" s="222"/>
      <c r="Y28" s="224"/>
      <c r="Z28" s="223"/>
      <c r="AA28" s="223"/>
      <c r="AB28" s="224"/>
      <c r="AC28" s="224"/>
      <c r="AD28" s="223"/>
      <c r="AE28" s="223"/>
      <c r="AF28" s="223"/>
      <c r="AG28" s="223"/>
      <c r="AH28" s="224"/>
      <c r="AI28" s="224"/>
      <c r="AJ28" s="225"/>
      <c r="AK28" s="221"/>
      <c r="AU28" s="215"/>
    </row>
    <row r="29" spans="1:47" ht="15" thickBot="1" x14ac:dyDescent="0.35">
      <c r="B29" s="216"/>
      <c r="C29" s="231"/>
      <c r="D29" s="232"/>
      <c r="E29" s="233"/>
      <c r="F29" s="232"/>
      <c r="G29" s="233"/>
      <c r="H29" s="232"/>
      <c r="I29" s="234"/>
      <c r="J29" s="221"/>
      <c r="T29" s="11"/>
      <c r="W29" s="216"/>
      <c r="X29" s="231"/>
      <c r="Y29" s="233"/>
      <c r="Z29" s="232"/>
      <c r="AA29" s="232"/>
      <c r="AB29" s="233"/>
      <c r="AC29" s="233"/>
      <c r="AD29" s="232"/>
      <c r="AE29" s="232"/>
      <c r="AF29" s="232"/>
      <c r="AG29" s="232"/>
      <c r="AH29" s="233"/>
      <c r="AI29" s="233"/>
      <c r="AJ29" s="234"/>
      <c r="AK29" s="221"/>
      <c r="AU29" s="215"/>
    </row>
    <row r="30" spans="1:47" ht="15" thickBot="1" x14ac:dyDescent="0.35">
      <c r="B30" s="235"/>
      <c r="C30" s="236" t="s">
        <v>619</v>
      </c>
      <c r="D30" s="237" t="s">
        <v>620</v>
      </c>
      <c r="E30" s="236" t="s">
        <v>619</v>
      </c>
      <c r="F30" s="237" t="s">
        <v>620</v>
      </c>
      <c r="G30" s="236" t="s">
        <v>619</v>
      </c>
      <c r="H30" s="237" t="s">
        <v>620</v>
      </c>
      <c r="I30" s="236" t="s">
        <v>619</v>
      </c>
      <c r="J30" s="238"/>
      <c r="T30" s="11"/>
      <c r="W30" s="235"/>
      <c r="X30" s="499" t="s">
        <v>621</v>
      </c>
      <c r="Y30" s="499"/>
      <c r="Z30" s="499" t="s">
        <v>622</v>
      </c>
      <c r="AA30" s="499"/>
      <c r="AB30" s="499" t="s">
        <v>621</v>
      </c>
      <c r="AC30" s="499"/>
      <c r="AD30" s="500" t="s">
        <v>622</v>
      </c>
      <c r="AE30" s="500"/>
      <c r="AF30" s="500"/>
      <c r="AG30" s="500"/>
      <c r="AH30" s="500" t="s">
        <v>621</v>
      </c>
      <c r="AI30" s="500"/>
      <c r="AJ30" s="500"/>
      <c r="AK30" s="238"/>
      <c r="AU30" s="215"/>
    </row>
    <row r="31" spans="1:47" x14ac:dyDescent="0.3">
      <c r="S31" s="239"/>
      <c r="T31" s="11"/>
    </row>
    <row r="32" spans="1:47" ht="18" x14ac:dyDescent="0.35">
      <c r="A32" s="214"/>
      <c r="H32" s="204"/>
      <c r="I32" s="204"/>
      <c r="J32" s="204"/>
      <c r="K32" s="204"/>
      <c r="L32" s="204"/>
      <c r="M32" s="204"/>
      <c r="N32" s="204"/>
      <c r="O32" s="204"/>
      <c r="P32" s="204"/>
      <c r="T32" s="11"/>
      <c r="U32" s="215"/>
      <c r="V32" s="204"/>
    </row>
    <row r="33" spans="1:49" ht="18" x14ac:dyDescent="0.35">
      <c r="A33" s="240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15"/>
      <c r="R33" s="215"/>
    </row>
    <row r="34" spans="1:49" ht="18.600000000000001" thickBot="1" x14ac:dyDescent="0.4">
      <c r="A34" s="240"/>
      <c r="B34" s="501"/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240"/>
      <c r="R34" s="240"/>
      <c r="S34" s="204"/>
      <c r="T34" s="204"/>
      <c r="U34" s="204"/>
      <c r="X34" s="215"/>
      <c r="AA34" s="502" t="s">
        <v>623</v>
      </c>
      <c r="AB34" s="502"/>
      <c r="AC34" s="502"/>
      <c r="AD34" s="502"/>
      <c r="AE34" s="502"/>
    </row>
    <row r="35" spans="1:49" ht="19.8" customHeight="1" x14ac:dyDescent="0.35">
      <c r="A35" s="240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40"/>
      <c r="R35" s="240"/>
      <c r="S35" s="204"/>
      <c r="T35" s="204"/>
      <c r="U35" s="204"/>
      <c r="AA35" s="503" t="s">
        <v>647</v>
      </c>
      <c r="AB35" s="504"/>
      <c r="AC35" s="504"/>
      <c r="AD35" s="504"/>
      <c r="AE35" s="505"/>
    </row>
    <row r="36" spans="1:49" ht="22.2" customHeight="1" thickBot="1" x14ac:dyDescent="0.4">
      <c r="A36" s="240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40"/>
      <c r="R36" s="240"/>
      <c r="S36" s="204"/>
      <c r="T36" s="204"/>
      <c r="U36" s="204"/>
      <c r="AA36" s="506"/>
      <c r="AB36" s="507"/>
      <c r="AC36" s="507"/>
      <c r="AD36" s="507"/>
      <c r="AE36" s="508"/>
    </row>
    <row r="37" spans="1:49" ht="18" customHeight="1" x14ac:dyDescent="0.35">
      <c r="A37" s="240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40"/>
      <c r="R37" s="215"/>
      <c r="S37" s="491"/>
      <c r="T37" s="492"/>
      <c r="U37" s="492"/>
      <c r="X37" s="215"/>
      <c r="AA37" s="204"/>
    </row>
    <row r="38" spans="1:49" ht="18" customHeight="1" x14ac:dyDescent="0.35">
      <c r="A38" s="240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40"/>
      <c r="R38" s="215"/>
      <c r="S38" s="247"/>
      <c r="T38" s="248"/>
      <c r="U38" s="248"/>
      <c r="X38" s="215"/>
      <c r="AA38" s="204"/>
    </row>
    <row r="39" spans="1:49" ht="18" customHeight="1" thickBot="1" x14ac:dyDescent="0.4">
      <c r="A39" s="240"/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40"/>
      <c r="R39" s="215"/>
      <c r="S39" s="247"/>
      <c r="T39" s="248"/>
      <c r="U39" s="248"/>
      <c r="V39" s="214" t="s">
        <v>624</v>
      </c>
      <c r="X39" s="215"/>
      <c r="AA39" s="204"/>
    </row>
    <row r="40" spans="1:49" ht="18.600000000000001" thickBot="1" x14ac:dyDescent="0.4">
      <c r="A40" s="215"/>
      <c r="B40" s="215"/>
      <c r="C40" s="215"/>
      <c r="D40" s="215"/>
      <c r="E40" s="215"/>
      <c r="F40" s="252"/>
      <c r="G40" s="215"/>
      <c r="H40" s="215"/>
      <c r="I40" s="215"/>
      <c r="J40" s="252"/>
      <c r="K40" s="497"/>
      <c r="L40" s="497"/>
      <c r="M40" s="215"/>
      <c r="N40" s="215"/>
      <c r="O40" s="215"/>
      <c r="P40" s="215"/>
      <c r="Q40" s="215"/>
      <c r="R40" s="215"/>
      <c r="T40" s="11"/>
      <c r="W40" s="487"/>
      <c r="X40" s="488"/>
      <c r="Y40" s="488"/>
      <c r="Z40" s="488"/>
      <c r="AA40" s="488"/>
      <c r="AB40" s="488"/>
      <c r="AC40" s="488"/>
      <c r="AD40" s="488"/>
      <c r="AE40" s="488"/>
      <c r="AF40" s="488"/>
      <c r="AG40" s="488"/>
      <c r="AH40" s="488"/>
      <c r="AI40" s="488"/>
      <c r="AJ40" s="488"/>
      <c r="AK40" s="489"/>
      <c r="AL40" s="204"/>
      <c r="AM40" s="204"/>
      <c r="AN40" s="204"/>
      <c r="AO40" s="204"/>
      <c r="AP40" s="204"/>
      <c r="AQ40" s="204"/>
      <c r="AR40" s="215"/>
      <c r="AS40" s="215"/>
      <c r="AT40" s="215"/>
      <c r="AU40" s="215"/>
      <c r="AV40" s="215"/>
      <c r="AW40" s="215"/>
    </row>
    <row r="41" spans="1:49" ht="18" x14ac:dyDescent="0.35">
      <c r="A41" s="215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T41" s="11"/>
      <c r="W41" s="216"/>
      <c r="X41" s="217"/>
      <c r="Y41" s="219"/>
      <c r="Z41" s="241"/>
      <c r="AA41" s="241"/>
      <c r="AB41" s="219"/>
      <c r="AC41" s="219"/>
      <c r="AD41" s="241"/>
      <c r="AE41" s="241"/>
      <c r="AF41" s="241"/>
      <c r="AG41" s="241"/>
      <c r="AH41" s="219"/>
      <c r="AI41" s="219"/>
      <c r="AJ41" s="220"/>
      <c r="AK41" s="221"/>
      <c r="AL41" s="204"/>
      <c r="AM41" s="204"/>
      <c r="AN41" s="204"/>
      <c r="AO41" s="204"/>
      <c r="AP41" s="204"/>
      <c r="AQ41" s="204"/>
      <c r="AR41" s="215"/>
      <c r="AS41" s="490"/>
      <c r="AT41" s="490"/>
      <c r="AU41" s="490"/>
      <c r="AV41" s="490"/>
      <c r="AW41" s="490"/>
    </row>
    <row r="42" spans="1:49" ht="18" x14ac:dyDescent="0.35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T42" s="11"/>
      <c r="W42" s="216"/>
      <c r="X42" s="222"/>
      <c r="Y42" s="224"/>
      <c r="Z42" s="242"/>
      <c r="AA42" s="242"/>
      <c r="AB42" s="224"/>
      <c r="AC42" s="224"/>
      <c r="AD42" s="242"/>
      <c r="AE42" s="242"/>
      <c r="AF42" s="242"/>
      <c r="AG42" s="242"/>
      <c r="AH42" s="224"/>
      <c r="AI42" s="224"/>
      <c r="AJ42" s="225"/>
      <c r="AK42" s="221"/>
      <c r="AL42" s="204"/>
      <c r="AM42" s="204"/>
      <c r="AN42" s="204"/>
      <c r="AO42" s="204"/>
      <c r="AP42" s="204"/>
      <c r="AQ42" s="204"/>
      <c r="AR42" s="215"/>
      <c r="AS42" s="490"/>
      <c r="AT42" s="490"/>
      <c r="AU42" s="490"/>
      <c r="AV42" s="490"/>
      <c r="AW42" s="490"/>
    </row>
    <row r="43" spans="1:49" ht="18.600000000000001" thickBot="1" x14ac:dyDescent="0.4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29"/>
      <c r="S43" s="229"/>
      <c r="T43" s="229"/>
      <c r="U43" s="229"/>
      <c r="W43" s="216"/>
      <c r="X43" s="222"/>
      <c r="Y43" s="224"/>
      <c r="Z43" s="242"/>
      <c r="AA43" s="242"/>
      <c r="AB43" s="224"/>
      <c r="AC43" s="224"/>
      <c r="AD43" s="242"/>
      <c r="AE43" s="242"/>
      <c r="AF43" s="242"/>
      <c r="AG43" s="242"/>
      <c r="AH43" s="224"/>
      <c r="AI43" s="224"/>
      <c r="AJ43" s="225"/>
      <c r="AK43" s="221"/>
      <c r="AL43" s="204"/>
      <c r="AM43" s="215"/>
      <c r="AN43" s="491"/>
      <c r="AO43" s="492"/>
      <c r="AP43" s="492"/>
      <c r="AQ43" s="492"/>
      <c r="AR43" s="215"/>
      <c r="AS43" s="215"/>
      <c r="AT43" s="215"/>
      <c r="AU43" s="215"/>
      <c r="AV43" s="215"/>
      <c r="AW43" s="215"/>
    </row>
    <row r="44" spans="1:49" ht="18.600000000000001" thickBot="1" x14ac:dyDescent="0.4">
      <c r="A44" s="215"/>
      <c r="B44" s="215"/>
      <c r="C44" s="215"/>
      <c r="D44" s="215"/>
      <c r="E44" s="513" t="s">
        <v>625</v>
      </c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514"/>
      <c r="Q44" s="515"/>
      <c r="R44" s="229"/>
      <c r="S44" s="229"/>
      <c r="T44" s="229"/>
      <c r="U44" s="229"/>
      <c r="W44" s="216"/>
      <c r="X44" s="222"/>
      <c r="Y44" s="224"/>
      <c r="Z44" s="242"/>
      <c r="AA44" s="242"/>
      <c r="AB44" s="224"/>
      <c r="AC44" s="224"/>
      <c r="AD44" s="242"/>
      <c r="AE44" s="242"/>
      <c r="AF44" s="242"/>
      <c r="AG44" s="242"/>
      <c r="AH44" s="224"/>
      <c r="AI44" s="224"/>
      <c r="AJ44" s="225"/>
      <c r="AK44" s="221"/>
      <c r="AL44" s="204"/>
      <c r="AM44" s="243"/>
      <c r="AN44" s="226" t="s">
        <v>626</v>
      </c>
      <c r="AU44" s="215"/>
    </row>
    <row r="45" spans="1:49" ht="18.600000000000001" customHeight="1" thickBot="1" x14ac:dyDescent="0.35">
      <c r="A45" s="215"/>
      <c r="B45" s="215"/>
      <c r="C45" s="215"/>
      <c r="D45" s="215"/>
      <c r="E45" s="516"/>
      <c r="F45" s="517"/>
      <c r="G45" s="517"/>
      <c r="H45" s="517"/>
      <c r="I45" s="517"/>
      <c r="J45" s="517"/>
      <c r="K45" s="517"/>
      <c r="L45" s="517"/>
      <c r="M45" s="517"/>
      <c r="N45" s="517"/>
      <c r="O45" s="517"/>
      <c r="P45" s="517"/>
      <c r="Q45" s="518"/>
      <c r="R45" s="229"/>
      <c r="S45" s="229"/>
      <c r="T45" s="229"/>
      <c r="U45" s="229"/>
      <c r="W45" s="216"/>
      <c r="X45" s="222"/>
      <c r="Y45" s="224"/>
      <c r="Z45" s="242"/>
      <c r="AA45" s="242"/>
      <c r="AB45" s="224"/>
      <c r="AC45" s="224"/>
      <c r="AD45" s="242"/>
      <c r="AE45" s="242"/>
      <c r="AF45" s="242"/>
      <c r="AG45" s="242"/>
      <c r="AH45" s="224"/>
      <c r="AI45" s="224"/>
      <c r="AJ45" s="225"/>
      <c r="AK45" s="221"/>
      <c r="AM45" s="228"/>
      <c r="AN45" s="226" t="s">
        <v>618</v>
      </c>
      <c r="AU45" s="215"/>
    </row>
    <row r="46" spans="1:49" ht="18.600000000000001" customHeight="1" thickBot="1" x14ac:dyDescent="0.35">
      <c r="A46" s="215"/>
      <c r="B46" s="215"/>
      <c r="C46" s="215"/>
      <c r="D46" s="215"/>
      <c r="E46" s="516"/>
      <c r="F46" s="517"/>
      <c r="G46" s="517"/>
      <c r="H46" s="517"/>
      <c r="I46" s="517"/>
      <c r="J46" s="517"/>
      <c r="K46" s="517"/>
      <c r="L46" s="517"/>
      <c r="M46" s="517"/>
      <c r="N46" s="517"/>
      <c r="O46" s="517"/>
      <c r="P46" s="517"/>
      <c r="Q46" s="518"/>
      <c r="R46" s="244"/>
      <c r="T46" s="11"/>
      <c r="W46" s="216"/>
      <c r="X46" s="222"/>
      <c r="Y46" s="224"/>
      <c r="Z46" s="242"/>
      <c r="AA46" s="242"/>
      <c r="AB46" s="224"/>
      <c r="AC46" s="224"/>
      <c r="AD46" s="242"/>
      <c r="AE46" s="242"/>
      <c r="AF46" s="242"/>
      <c r="AG46" s="242"/>
      <c r="AH46" s="224"/>
      <c r="AI46" s="224"/>
      <c r="AJ46" s="225"/>
      <c r="AK46" s="221"/>
      <c r="AM46" s="261"/>
      <c r="AN46" s="226" t="s">
        <v>662</v>
      </c>
      <c r="AU46" s="215"/>
    </row>
    <row r="47" spans="1:49" x14ac:dyDescent="0.3">
      <c r="A47" s="215"/>
      <c r="B47" s="215"/>
      <c r="C47" s="215"/>
      <c r="D47" s="215"/>
      <c r="E47" s="519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520"/>
      <c r="Q47" s="521"/>
      <c r="R47" s="215"/>
      <c r="T47" s="11"/>
      <c r="W47" s="216"/>
      <c r="X47" s="222"/>
      <c r="Y47" s="224"/>
      <c r="Z47" s="242"/>
      <c r="AA47" s="249"/>
      <c r="AB47" s="224"/>
      <c r="AC47" s="224"/>
      <c r="AD47" s="242"/>
      <c r="AE47" s="249"/>
      <c r="AF47" s="522"/>
      <c r="AG47" s="522"/>
      <c r="AH47" s="224"/>
      <c r="AI47" s="224"/>
      <c r="AJ47" s="225"/>
      <c r="AK47" s="221"/>
      <c r="AU47" s="215"/>
    </row>
    <row r="48" spans="1:49" x14ac:dyDescent="0.3">
      <c r="A48" s="215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T48" s="11"/>
      <c r="W48" s="216"/>
      <c r="X48" s="222"/>
      <c r="Y48" s="224"/>
      <c r="Z48" s="242"/>
      <c r="AA48" s="242"/>
      <c r="AB48" s="224"/>
      <c r="AC48" s="224"/>
      <c r="AD48" s="242"/>
      <c r="AE48" s="242"/>
      <c r="AF48" s="242"/>
      <c r="AG48" s="242"/>
      <c r="AH48" s="224"/>
      <c r="AI48" s="224"/>
      <c r="AJ48" s="225"/>
      <c r="AK48" s="221"/>
      <c r="AU48" s="215"/>
    </row>
    <row r="49" spans="1:47" x14ac:dyDescent="0.3">
      <c r="A49" s="215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T49" s="11"/>
      <c r="W49" s="216"/>
      <c r="X49" s="222"/>
      <c r="Y49" s="224"/>
      <c r="Z49" s="262" t="s">
        <v>619</v>
      </c>
      <c r="AA49" s="263" t="s">
        <v>619</v>
      </c>
      <c r="AB49" s="224"/>
      <c r="AC49" s="224"/>
      <c r="AD49" s="262" t="s">
        <v>619</v>
      </c>
      <c r="AE49" s="249"/>
      <c r="AF49" s="523" t="s">
        <v>619</v>
      </c>
      <c r="AG49" s="523"/>
      <c r="AH49" s="224"/>
      <c r="AI49" s="224"/>
      <c r="AJ49" s="225"/>
      <c r="AK49" s="221"/>
      <c r="AM49" s="229" t="s">
        <v>648</v>
      </c>
      <c r="AU49" s="215"/>
    </row>
    <row r="50" spans="1:47" x14ac:dyDescent="0.3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T50" s="11"/>
      <c r="W50" s="216"/>
      <c r="X50" s="222"/>
      <c r="Y50" s="224"/>
      <c r="Z50" s="242"/>
      <c r="AA50" s="242"/>
      <c r="AB50" s="224"/>
      <c r="AC50" s="224"/>
      <c r="AD50" s="242"/>
      <c r="AE50" s="242"/>
      <c r="AF50" s="242"/>
      <c r="AG50" s="242"/>
      <c r="AH50" s="224"/>
      <c r="AI50" s="224"/>
      <c r="AJ50" s="225"/>
      <c r="AK50" s="221"/>
      <c r="AM50" s="229" t="s">
        <v>649</v>
      </c>
      <c r="AN50" s="229"/>
      <c r="AO50" s="229"/>
      <c r="AP50" s="229"/>
      <c r="AQ50" s="229"/>
      <c r="AU50" s="215"/>
    </row>
    <row r="51" spans="1:47" x14ac:dyDescent="0.3">
      <c r="A51" s="215"/>
      <c r="B51" s="215"/>
      <c r="C51" s="511"/>
      <c r="D51" s="511"/>
      <c r="E51" s="511"/>
      <c r="F51" s="511"/>
      <c r="G51" s="511"/>
      <c r="H51" s="511"/>
      <c r="I51" s="512"/>
      <c r="J51" s="512"/>
      <c r="K51" s="512"/>
      <c r="L51" s="512"/>
      <c r="M51" s="512"/>
      <c r="N51" s="512"/>
      <c r="O51" s="512"/>
      <c r="P51" s="215"/>
      <c r="Q51" s="215"/>
      <c r="R51" s="215"/>
      <c r="T51" s="11"/>
      <c r="W51" s="216"/>
      <c r="X51" s="222"/>
      <c r="Y51" s="224"/>
      <c r="Z51" s="242"/>
      <c r="AA51" s="242"/>
      <c r="AB51" s="224"/>
      <c r="AC51" s="224"/>
      <c r="AD51" s="242"/>
      <c r="AE51" s="242"/>
      <c r="AF51" s="242"/>
      <c r="AG51" s="242"/>
      <c r="AH51" s="224"/>
      <c r="AI51" s="224"/>
      <c r="AJ51" s="225"/>
      <c r="AK51" s="221"/>
      <c r="AM51" s="229" t="s">
        <v>644</v>
      </c>
      <c r="AN51" s="229"/>
      <c r="AO51" s="229"/>
      <c r="AP51" s="229"/>
      <c r="AQ51" s="229"/>
      <c r="AU51" s="215"/>
    </row>
    <row r="52" spans="1:47" x14ac:dyDescent="0.3">
      <c r="W52" s="216"/>
      <c r="X52" s="222"/>
      <c r="Y52" s="224"/>
      <c r="Z52" s="242"/>
      <c r="AA52" s="242"/>
      <c r="AB52" s="224"/>
      <c r="AC52" s="224"/>
      <c r="AD52" s="242"/>
      <c r="AE52" s="242"/>
      <c r="AF52" s="242"/>
      <c r="AG52" s="242"/>
      <c r="AH52" s="224"/>
      <c r="AI52" s="224"/>
      <c r="AJ52" s="225"/>
      <c r="AK52" s="221"/>
      <c r="AM52" s="230" t="s">
        <v>650</v>
      </c>
      <c r="AN52" s="229"/>
      <c r="AO52" s="229"/>
      <c r="AP52" s="229"/>
      <c r="AQ52" s="229"/>
      <c r="AU52" s="215"/>
    </row>
    <row r="53" spans="1:47" x14ac:dyDescent="0.3">
      <c r="W53" s="216"/>
      <c r="X53" s="222"/>
      <c r="Y53" s="224"/>
      <c r="Z53" s="242"/>
      <c r="AA53" s="242"/>
      <c r="AB53" s="224"/>
      <c r="AC53" s="224"/>
      <c r="AD53" s="242"/>
      <c r="AE53" s="242"/>
      <c r="AF53" s="242"/>
      <c r="AG53" s="242"/>
      <c r="AH53" s="224"/>
      <c r="AI53" s="224"/>
      <c r="AJ53" s="225"/>
      <c r="AK53" s="221"/>
      <c r="AM53" s="230"/>
      <c r="AU53" s="215"/>
    </row>
    <row r="54" spans="1:47" x14ac:dyDescent="0.3">
      <c r="W54" s="216"/>
      <c r="X54" s="222"/>
      <c r="Y54" s="224"/>
      <c r="Z54" s="242"/>
      <c r="AA54" s="242"/>
      <c r="AB54" s="224"/>
      <c r="AC54" s="224"/>
      <c r="AD54" s="242"/>
      <c r="AE54" s="242"/>
      <c r="AF54" s="242"/>
      <c r="AG54" s="242"/>
      <c r="AH54" s="224"/>
      <c r="AI54" s="224"/>
      <c r="AJ54" s="225"/>
      <c r="AK54" s="221"/>
      <c r="AU54" s="215"/>
    </row>
    <row r="55" spans="1:47" x14ac:dyDescent="0.3">
      <c r="W55" s="216"/>
      <c r="X55" s="222"/>
      <c r="Y55" s="224"/>
      <c r="Z55" s="242"/>
      <c r="AA55" s="242"/>
      <c r="AB55" s="224"/>
      <c r="AC55" s="224"/>
      <c r="AD55" s="242"/>
      <c r="AE55" s="242"/>
      <c r="AF55" s="242"/>
      <c r="AG55" s="242"/>
      <c r="AH55" s="224"/>
      <c r="AI55" s="224"/>
      <c r="AJ55" s="225"/>
      <c r="AK55" s="221"/>
      <c r="AU55" s="215"/>
    </row>
    <row r="56" spans="1:47" x14ac:dyDescent="0.3">
      <c r="W56" s="216"/>
      <c r="X56" s="222"/>
      <c r="Y56" s="224"/>
      <c r="Z56" s="242"/>
      <c r="AA56" s="242"/>
      <c r="AB56" s="224"/>
      <c r="AC56" s="224"/>
      <c r="AD56" s="242"/>
      <c r="AE56" s="242"/>
      <c r="AF56" s="242"/>
      <c r="AG56" s="242"/>
      <c r="AH56" s="224"/>
      <c r="AI56" s="224"/>
      <c r="AJ56" s="225"/>
      <c r="AK56" s="221"/>
      <c r="AU56" s="215"/>
    </row>
    <row r="57" spans="1:47" ht="15" thickBot="1" x14ac:dyDescent="0.35">
      <c r="U57" s="215"/>
      <c r="V57" s="215"/>
      <c r="W57" s="216"/>
      <c r="X57" s="231"/>
      <c r="Y57" s="233"/>
      <c r="Z57" s="245"/>
      <c r="AA57" s="245"/>
      <c r="AB57" s="233"/>
      <c r="AC57" s="233"/>
      <c r="AD57" s="245"/>
      <c r="AE57" s="245"/>
      <c r="AF57" s="245"/>
      <c r="AG57" s="245"/>
      <c r="AH57" s="233"/>
      <c r="AI57" s="233"/>
      <c r="AJ57" s="234"/>
      <c r="AK57" s="221"/>
      <c r="AU57" s="215"/>
    </row>
    <row r="58" spans="1:47" ht="15" thickBot="1" x14ac:dyDescent="0.35">
      <c r="U58" s="215"/>
      <c r="V58" s="215"/>
      <c r="W58" s="235"/>
      <c r="X58" s="499" t="s">
        <v>621</v>
      </c>
      <c r="Y58" s="499"/>
      <c r="Z58" s="499" t="s">
        <v>622</v>
      </c>
      <c r="AA58" s="499"/>
      <c r="AB58" s="499" t="s">
        <v>621</v>
      </c>
      <c r="AC58" s="499"/>
      <c r="AD58" s="500" t="s">
        <v>622</v>
      </c>
      <c r="AE58" s="500"/>
      <c r="AF58" s="500"/>
      <c r="AG58" s="500"/>
      <c r="AH58" s="500" t="s">
        <v>621</v>
      </c>
      <c r="AI58" s="500"/>
      <c r="AJ58" s="500"/>
      <c r="AK58" s="238"/>
      <c r="AU58" s="215"/>
    </row>
    <row r="59" spans="1:47" x14ac:dyDescent="0.3"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</row>
    <row r="60" spans="1:47" ht="18" x14ac:dyDescent="0.35">
      <c r="U60" s="215"/>
      <c r="V60" s="501"/>
      <c r="W60" s="501"/>
      <c r="X60" s="501"/>
      <c r="Y60" s="501"/>
      <c r="Z60" s="501"/>
      <c r="AA60" s="501"/>
      <c r="AB60" s="501"/>
      <c r="AC60" s="240"/>
      <c r="AD60" s="240"/>
      <c r="AE60" s="240"/>
      <c r="AF60" s="240"/>
      <c r="AG60" s="240"/>
      <c r="AH60" s="240"/>
      <c r="AI60" s="215"/>
      <c r="AJ60" s="215"/>
      <c r="AK60" s="215"/>
      <c r="AL60" s="215"/>
      <c r="AM60" s="215"/>
      <c r="AN60" s="215"/>
      <c r="AO60" s="215"/>
    </row>
    <row r="61" spans="1:47" ht="18" x14ac:dyDescent="0.35">
      <c r="U61" s="215"/>
      <c r="V61" s="215"/>
      <c r="W61" s="215"/>
      <c r="X61" s="215"/>
      <c r="Y61" s="215"/>
      <c r="Z61" s="215"/>
      <c r="AA61" s="215"/>
      <c r="AB61" s="215"/>
      <c r="AC61" s="240"/>
      <c r="AD61" s="240"/>
      <c r="AE61" s="240"/>
      <c r="AF61" s="240"/>
      <c r="AG61" s="240"/>
      <c r="AH61" s="240"/>
      <c r="AI61" s="215"/>
      <c r="AJ61" s="215"/>
      <c r="AK61" s="215"/>
      <c r="AL61" s="215"/>
      <c r="AM61" s="215"/>
      <c r="AN61" s="215"/>
      <c r="AO61" s="215"/>
    </row>
    <row r="62" spans="1:47" ht="18" x14ac:dyDescent="0.35">
      <c r="U62" s="215"/>
      <c r="V62" s="215"/>
      <c r="W62" s="215"/>
      <c r="X62" s="215"/>
      <c r="Y62" s="215"/>
      <c r="Z62" s="215"/>
      <c r="AA62" s="215"/>
      <c r="AB62" s="215"/>
      <c r="AC62" s="240"/>
      <c r="AD62" s="240"/>
      <c r="AE62" s="240"/>
      <c r="AF62" s="240"/>
      <c r="AG62" s="240"/>
      <c r="AH62" s="240"/>
      <c r="AI62" s="215"/>
      <c r="AJ62" s="215"/>
      <c r="AK62" s="215"/>
      <c r="AL62" s="215"/>
      <c r="AM62" s="215"/>
      <c r="AN62" s="215"/>
      <c r="AO62" s="215"/>
    </row>
    <row r="63" spans="1:47" ht="18" x14ac:dyDescent="0.35">
      <c r="U63" s="215"/>
      <c r="V63" s="215"/>
      <c r="W63" s="215"/>
      <c r="X63" s="215"/>
      <c r="Y63" s="215"/>
      <c r="Z63" s="215"/>
      <c r="AA63" s="215"/>
      <c r="AB63" s="215"/>
      <c r="AC63" s="240"/>
      <c r="AD63" s="215"/>
      <c r="AE63" s="524"/>
      <c r="AF63" s="524"/>
      <c r="AG63" s="524"/>
      <c r="AH63" s="524"/>
      <c r="AI63" s="215"/>
      <c r="AJ63" s="215"/>
      <c r="AK63" s="215"/>
      <c r="AL63" s="215"/>
      <c r="AM63" s="215"/>
      <c r="AN63" s="215"/>
      <c r="AO63" s="215"/>
    </row>
    <row r="64" spans="1:47" ht="18" x14ac:dyDescent="0.35">
      <c r="U64" s="215"/>
      <c r="V64" s="215"/>
      <c r="W64" s="215"/>
      <c r="X64" s="215"/>
      <c r="Y64" s="215"/>
      <c r="Z64" s="215"/>
      <c r="AA64" s="215"/>
      <c r="AB64" s="215"/>
      <c r="AC64" s="240"/>
      <c r="AD64" s="215"/>
      <c r="AE64" s="246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</row>
    <row r="65" spans="21:41" x14ac:dyDescent="0.3"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46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</row>
    <row r="66" spans="21:41" x14ac:dyDescent="0.3"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46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</row>
    <row r="67" spans="21:41" x14ac:dyDescent="0.3"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</row>
    <row r="68" spans="21:41" x14ac:dyDescent="0.3"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</row>
    <row r="69" spans="21:41" x14ac:dyDescent="0.3"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</row>
    <row r="70" spans="21:41" x14ac:dyDescent="0.3">
      <c r="U70" s="215"/>
      <c r="V70" s="215"/>
      <c r="W70" s="215"/>
      <c r="X70" s="215"/>
      <c r="Y70" s="215"/>
      <c r="Z70" s="215"/>
      <c r="AA70" s="215"/>
      <c r="AB70" s="215"/>
      <c r="AC70" s="215"/>
      <c r="AD70" s="229"/>
      <c r="AE70" s="229"/>
      <c r="AF70" s="229"/>
      <c r="AG70" s="229"/>
      <c r="AH70" s="229"/>
      <c r="AI70" s="215"/>
      <c r="AJ70" s="215"/>
      <c r="AK70" s="215"/>
      <c r="AL70" s="215"/>
      <c r="AM70" s="215"/>
      <c r="AN70" s="215"/>
      <c r="AO70" s="215"/>
    </row>
    <row r="71" spans="21:41" x14ac:dyDescent="0.3">
      <c r="U71" s="215"/>
      <c r="V71" s="215"/>
      <c r="W71" s="215"/>
      <c r="X71" s="215"/>
      <c r="Y71" s="215"/>
      <c r="Z71" s="215"/>
      <c r="AA71" s="215"/>
      <c r="AB71" s="215"/>
      <c r="AC71" s="215"/>
      <c r="AD71" s="229"/>
      <c r="AE71" s="229"/>
      <c r="AF71" s="229"/>
      <c r="AG71" s="229"/>
      <c r="AH71" s="229"/>
      <c r="AI71" s="215"/>
      <c r="AJ71" s="215"/>
      <c r="AK71" s="215"/>
      <c r="AL71" s="215"/>
      <c r="AM71" s="215"/>
      <c r="AN71" s="215"/>
      <c r="AO71" s="215"/>
    </row>
    <row r="72" spans="21:41" x14ac:dyDescent="0.3">
      <c r="U72" s="215"/>
      <c r="V72" s="215"/>
      <c r="W72" s="215"/>
      <c r="X72" s="215"/>
      <c r="Y72" s="215"/>
      <c r="Z72" s="215"/>
      <c r="AA72" s="215"/>
      <c r="AB72" s="215"/>
      <c r="AC72" s="215"/>
      <c r="AD72" s="229"/>
      <c r="AE72" s="229"/>
      <c r="AF72" s="229"/>
      <c r="AG72" s="229"/>
      <c r="AH72" s="229"/>
      <c r="AI72" s="215"/>
      <c r="AJ72" s="215"/>
      <c r="AK72" s="215"/>
      <c r="AL72" s="215"/>
      <c r="AM72" s="215"/>
      <c r="AN72" s="215"/>
      <c r="AO72" s="215"/>
    </row>
    <row r="73" spans="21:41" x14ac:dyDescent="0.3">
      <c r="U73" s="215"/>
      <c r="V73" s="215"/>
      <c r="W73" s="215"/>
      <c r="X73" s="215"/>
      <c r="Y73" s="215"/>
      <c r="Z73" s="215"/>
      <c r="AA73" s="215"/>
      <c r="AB73" s="215"/>
      <c r="AC73" s="215"/>
      <c r="AD73" s="244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</row>
    <row r="74" spans="21:41" x14ac:dyDescent="0.3"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</row>
    <row r="75" spans="21:41" x14ac:dyDescent="0.3"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</row>
    <row r="76" spans="21:41" x14ac:dyDescent="0.3"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</row>
    <row r="77" spans="21:41" x14ac:dyDescent="0.3"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</row>
    <row r="78" spans="21:41" x14ac:dyDescent="0.3">
      <c r="U78" s="215"/>
      <c r="V78" s="251"/>
      <c r="W78" s="250"/>
      <c r="X78" s="251"/>
      <c r="Y78" s="250"/>
      <c r="Z78" s="251"/>
      <c r="AA78" s="250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</row>
    <row r="79" spans="21:41" x14ac:dyDescent="0.3"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</row>
    <row r="80" spans="21:41" x14ac:dyDescent="0.3"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</row>
    <row r="81" spans="21:41" x14ac:dyDescent="0.3"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</row>
  </sheetData>
  <sheetProtection algorithmName="SHA-512" hashValue="P/KhU35BHXPDeK7wrgTY+UGv0HHBtA6sl1ldI8o7uz7dHdFVNaCbNvUOZYnz/FSWln6/n0SUlc2IFXG9QLpBPA==" saltValue="ilKZgItUSrYk2L9wrWDifw==" spinCount="100000" sheet="1" objects="1" scenarios="1" selectLockedCells="1"/>
  <mergeCells count="42">
    <mergeCell ref="AE63:AH63"/>
    <mergeCell ref="X58:Y58"/>
    <mergeCell ref="Z58:AA58"/>
    <mergeCell ref="AB58:AC58"/>
    <mergeCell ref="AD58:AG58"/>
    <mergeCell ref="AH58:AJ58"/>
    <mergeCell ref="V60:AB60"/>
    <mergeCell ref="AS41:AW42"/>
    <mergeCell ref="AN43:AQ43"/>
    <mergeCell ref="E44:Q47"/>
    <mergeCell ref="AF47:AG47"/>
    <mergeCell ref="AF49:AG49"/>
    <mergeCell ref="C51:D51"/>
    <mergeCell ref="E51:F51"/>
    <mergeCell ref="G51:H51"/>
    <mergeCell ref="I51:L51"/>
    <mergeCell ref="M51:O51"/>
    <mergeCell ref="K40:L40"/>
    <mergeCell ref="W40:AK40"/>
    <mergeCell ref="AF19:AG19"/>
    <mergeCell ref="X30:Y30"/>
    <mergeCell ref="Z30:AA30"/>
    <mergeCell ref="AB30:AC30"/>
    <mergeCell ref="AD30:AG30"/>
    <mergeCell ref="AH30:AJ30"/>
    <mergeCell ref="B34:P34"/>
    <mergeCell ref="AA34:AE34"/>
    <mergeCell ref="AA35:AE36"/>
    <mergeCell ref="S37:U37"/>
    <mergeCell ref="L19:M19"/>
    <mergeCell ref="AS13:AW14"/>
    <mergeCell ref="N15:Q15"/>
    <mergeCell ref="AN15:AQ15"/>
    <mergeCell ref="L16:M16"/>
    <mergeCell ref="L17:M17"/>
    <mergeCell ref="L18:M18"/>
    <mergeCell ref="A1:AA1"/>
    <mergeCell ref="A4:B4"/>
    <mergeCell ref="A5:B6"/>
    <mergeCell ref="A8:B8"/>
    <mergeCell ref="B12:J12"/>
    <mergeCell ref="W12:AK12"/>
  </mergeCells>
  <pageMargins left="0.70866141732283472" right="0.70866141732283472" top="0.74803149606299213" bottom="0.74803149606299213" header="0.31496062992125984" footer="0.31496062992125984"/>
  <pageSetup scale="46" orientation="landscape" r:id="rId1"/>
  <headerFooter>
    <oddHeader>&amp;CVersion 2 : 2017-04-27</oddHeader>
    <oddFooter>&amp;L&amp;A&amp;R&amp;P de 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Q25"/>
  <sheetViews>
    <sheetView zoomScale="112" zoomScaleNormal="112" workbookViewId="0">
      <selection activeCell="C9" sqref="C9:Q9"/>
    </sheetView>
  </sheetViews>
  <sheetFormatPr baseColWidth="10" defaultRowHeight="14.4" x14ac:dyDescent="0.3"/>
  <cols>
    <col min="1" max="1" width="11.5546875" style="140"/>
    <col min="2" max="2" width="19.33203125" style="140" bestFit="1" customWidth="1"/>
    <col min="3" max="17" width="9.77734375" style="140" customWidth="1"/>
    <col min="18" max="16384" width="11.5546875" style="140"/>
  </cols>
  <sheetData>
    <row r="1" spans="1:17" ht="40.200000000000003" customHeight="1" thickBot="1" x14ac:dyDescent="0.35">
      <c r="A1" s="525" t="s">
        <v>651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7"/>
    </row>
    <row r="3" spans="1:17" x14ac:dyDescent="0.3">
      <c r="A3" s="141" t="s">
        <v>563</v>
      </c>
      <c r="B3" s="142" t="s">
        <v>564</v>
      </c>
      <c r="C3" s="256" t="s">
        <v>633</v>
      </c>
      <c r="D3" s="256"/>
      <c r="E3" s="256"/>
      <c r="F3" s="256"/>
      <c r="G3" s="256"/>
      <c r="H3" s="256"/>
      <c r="I3" s="267"/>
      <c r="J3" s="142"/>
      <c r="K3" s="142"/>
      <c r="L3" s="142"/>
      <c r="M3" s="142"/>
      <c r="N3" s="142"/>
      <c r="O3" s="142"/>
      <c r="P3" s="142"/>
      <c r="Q3" s="143"/>
    </row>
    <row r="4" spans="1:17" x14ac:dyDescent="0.3">
      <c r="A4" s="144"/>
      <c r="B4" s="145" t="s">
        <v>565</v>
      </c>
      <c r="C4" s="146" t="s">
        <v>632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7"/>
    </row>
    <row r="5" spans="1:17" x14ac:dyDescent="0.3">
      <c r="A5" s="148"/>
      <c r="B5" s="149" t="s">
        <v>566</v>
      </c>
      <c r="C5" s="149" t="s">
        <v>567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50"/>
    </row>
    <row r="6" spans="1:17" ht="3" customHeight="1" x14ac:dyDescent="0.3">
      <c r="A6" s="269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1"/>
    </row>
    <row r="7" spans="1:17" x14ac:dyDescent="0.3">
      <c r="A7" s="141" t="s">
        <v>661</v>
      </c>
      <c r="B7" s="142" t="s">
        <v>564</v>
      </c>
      <c r="C7" s="256" t="s">
        <v>676</v>
      </c>
      <c r="D7" s="256"/>
      <c r="E7" s="256"/>
      <c r="F7" s="256"/>
      <c r="G7" s="256"/>
      <c r="H7" s="256"/>
      <c r="I7" s="267"/>
      <c r="J7" s="142"/>
      <c r="K7" s="142"/>
      <c r="L7" s="142"/>
      <c r="M7" s="142"/>
      <c r="N7" s="142"/>
      <c r="O7" s="142"/>
      <c r="P7" s="142"/>
      <c r="Q7" s="143"/>
    </row>
    <row r="8" spans="1:17" x14ac:dyDescent="0.3">
      <c r="A8" s="144"/>
      <c r="B8" s="145" t="s">
        <v>565</v>
      </c>
      <c r="C8" s="146" t="s">
        <v>677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7"/>
    </row>
    <row r="9" spans="1:17" x14ac:dyDescent="0.3">
      <c r="A9" s="144"/>
      <c r="B9" s="272" t="s">
        <v>566</v>
      </c>
      <c r="C9" s="528" t="s">
        <v>665</v>
      </c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9"/>
    </row>
    <row r="10" spans="1:17" ht="29.4" customHeight="1" x14ac:dyDescent="0.3">
      <c r="A10" s="144"/>
      <c r="B10" s="145"/>
      <c r="C10" s="530" t="s">
        <v>666</v>
      </c>
      <c r="D10" s="530"/>
      <c r="E10" s="530"/>
      <c r="F10" s="530"/>
      <c r="G10" s="530"/>
      <c r="H10" s="530"/>
      <c r="I10" s="530"/>
      <c r="J10" s="530"/>
      <c r="K10" s="530"/>
      <c r="L10" s="530"/>
      <c r="M10" s="530"/>
      <c r="N10" s="530"/>
      <c r="O10" s="530"/>
      <c r="P10" s="530"/>
      <c r="Q10" s="147"/>
    </row>
    <row r="11" spans="1:17" x14ac:dyDescent="0.3">
      <c r="A11" s="144"/>
      <c r="B11" s="145"/>
      <c r="C11" s="145" t="s">
        <v>674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7"/>
    </row>
    <row r="12" spans="1:17" x14ac:dyDescent="0.3">
      <c r="A12" s="144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7"/>
    </row>
    <row r="13" spans="1:17" x14ac:dyDescent="0.3">
      <c r="A13" s="144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7"/>
    </row>
    <row r="14" spans="1:17" x14ac:dyDescent="0.3">
      <c r="A14" s="144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7"/>
    </row>
    <row r="15" spans="1:17" x14ac:dyDescent="0.3">
      <c r="A15" s="144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7"/>
    </row>
    <row r="16" spans="1:17" x14ac:dyDescent="0.3">
      <c r="A16" s="144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7"/>
    </row>
    <row r="17" spans="1:17" x14ac:dyDescent="0.3">
      <c r="A17" s="144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7"/>
    </row>
    <row r="18" spans="1:17" x14ac:dyDescent="0.3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7"/>
    </row>
    <row r="19" spans="1:17" x14ac:dyDescent="0.3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7"/>
    </row>
    <row r="20" spans="1:17" x14ac:dyDescent="0.3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7"/>
    </row>
    <row r="21" spans="1:17" x14ac:dyDescent="0.3">
      <c r="A21" s="144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7"/>
    </row>
    <row r="22" spans="1:17" x14ac:dyDescent="0.3">
      <c r="A22" s="144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7"/>
    </row>
    <row r="23" spans="1:17" x14ac:dyDescent="0.3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7"/>
    </row>
    <row r="24" spans="1:17" x14ac:dyDescent="0.3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7"/>
    </row>
    <row r="25" spans="1:17" x14ac:dyDescent="0.3">
      <c r="A25" s="148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50"/>
    </row>
  </sheetData>
  <sheetProtection algorithmName="SHA-512" hashValue="w/kqYSTMVovYiFJNIGzLxc3SPATiIz2a6Axik+WehAT6XNbDA+NxG2NfpVm6UVoolfThmPTILG1TD8/Pdc3W8w==" saltValue="r8Nlee/N76GKxTIVidn7Qw==" spinCount="100000" sheet="1" objects="1" scenarios="1" selectLockedCells="1"/>
  <mergeCells count="3">
    <mergeCell ref="A1:Q1"/>
    <mergeCell ref="C9:Q9"/>
    <mergeCell ref="C10:P10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headerFooter>
    <oddHeader>&amp;CVersion 2 : 2017-04-27</oddHeader>
    <oddFooter>&amp;L&amp;A&amp;R&amp;P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555"/>
  <sheetViews>
    <sheetView workbookViewId="0"/>
  </sheetViews>
  <sheetFormatPr baseColWidth="10" defaultRowHeight="14.4" x14ac:dyDescent="0.3"/>
  <cols>
    <col min="1" max="1" width="28.5546875" style="78" bestFit="1" customWidth="1"/>
    <col min="2" max="2" width="18.21875" style="73" bestFit="1" customWidth="1"/>
    <col min="3" max="3" width="26.77734375" style="73" bestFit="1" customWidth="1"/>
    <col min="4" max="4" width="26.44140625" style="73" bestFit="1" customWidth="1"/>
    <col min="5" max="5" width="27.88671875" style="73" bestFit="1" customWidth="1"/>
    <col min="6" max="6" width="16.88671875" style="73" bestFit="1" customWidth="1"/>
    <col min="7" max="16384" width="11.5546875" style="73"/>
  </cols>
  <sheetData>
    <row r="1" spans="1:1" ht="15" thickBot="1" x14ac:dyDescent="0.35">
      <c r="A1" s="75" t="s">
        <v>523</v>
      </c>
    </row>
    <row r="2" spans="1:1" x14ac:dyDescent="0.3">
      <c r="A2" s="76" t="s">
        <v>524</v>
      </c>
    </row>
    <row r="3" spans="1:1" ht="15" thickBot="1" x14ac:dyDescent="0.35">
      <c r="A3" s="77" t="s">
        <v>525</v>
      </c>
    </row>
    <row r="4" spans="1:1" x14ac:dyDescent="0.3">
      <c r="A4" s="115"/>
    </row>
    <row r="6" spans="1:1" ht="15" thickBot="1" x14ac:dyDescent="0.35">
      <c r="A6" s="75" t="s">
        <v>664</v>
      </c>
    </row>
    <row r="7" spans="1:1" x14ac:dyDescent="0.3">
      <c r="A7" s="76" t="s">
        <v>12</v>
      </c>
    </row>
    <row r="8" spans="1:1" x14ac:dyDescent="0.3">
      <c r="A8" s="79" t="s">
        <v>11</v>
      </c>
    </row>
    <row r="9" spans="1:1" x14ac:dyDescent="0.3">
      <c r="A9" s="79" t="s">
        <v>13</v>
      </c>
    </row>
    <row r="10" spans="1:1" x14ac:dyDescent="0.3">
      <c r="A10" s="79" t="s">
        <v>14</v>
      </c>
    </row>
    <row r="11" spans="1:1" x14ac:dyDescent="0.3">
      <c r="A11" s="79" t="s">
        <v>15</v>
      </c>
    </row>
    <row r="12" spans="1:1" x14ac:dyDescent="0.3">
      <c r="A12" s="79" t="s">
        <v>16</v>
      </c>
    </row>
    <row r="13" spans="1:1" x14ac:dyDescent="0.3">
      <c r="A13" s="79" t="s">
        <v>17</v>
      </c>
    </row>
    <row r="14" spans="1:1" x14ac:dyDescent="0.3">
      <c r="A14" s="79" t="s">
        <v>18</v>
      </c>
    </row>
    <row r="15" spans="1:1" x14ac:dyDescent="0.3">
      <c r="A15" s="79" t="s">
        <v>19</v>
      </c>
    </row>
    <row r="16" spans="1:1" x14ac:dyDescent="0.3">
      <c r="A16" s="79" t="s">
        <v>20</v>
      </c>
    </row>
    <row r="17" spans="1:1" x14ac:dyDescent="0.3">
      <c r="A17" s="79" t="s">
        <v>21</v>
      </c>
    </row>
    <row r="18" spans="1:1" x14ac:dyDescent="0.3">
      <c r="A18" s="79" t="s">
        <v>22</v>
      </c>
    </row>
    <row r="19" spans="1:1" x14ac:dyDescent="0.3">
      <c r="A19" s="79" t="s">
        <v>23</v>
      </c>
    </row>
    <row r="20" spans="1:1" x14ac:dyDescent="0.3">
      <c r="A20" s="79" t="s">
        <v>24</v>
      </c>
    </row>
    <row r="21" spans="1:1" x14ac:dyDescent="0.3">
      <c r="A21" s="79" t="s">
        <v>25</v>
      </c>
    </row>
    <row r="22" spans="1:1" x14ac:dyDescent="0.3">
      <c r="A22" s="79" t="s">
        <v>26</v>
      </c>
    </row>
    <row r="23" spans="1:1" x14ac:dyDescent="0.3">
      <c r="A23" s="79" t="s">
        <v>27</v>
      </c>
    </row>
    <row r="24" spans="1:1" x14ac:dyDescent="0.3">
      <c r="A24" s="79" t="s">
        <v>28</v>
      </c>
    </row>
    <row r="25" spans="1:1" x14ac:dyDescent="0.3">
      <c r="A25" s="79" t="s">
        <v>29</v>
      </c>
    </row>
    <row r="26" spans="1:1" x14ac:dyDescent="0.3">
      <c r="A26" s="79" t="s">
        <v>30</v>
      </c>
    </row>
    <row r="27" spans="1:1" x14ac:dyDescent="0.3">
      <c r="A27" s="79" t="s">
        <v>31</v>
      </c>
    </row>
    <row r="28" spans="1:1" x14ac:dyDescent="0.3">
      <c r="A28" s="79" t="s">
        <v>32</v>
      </c>
    </row>
    <row r="29" spans="1:1" x14ac:dyDescent="0.3">
      <c r="A29" s="79" t="s">
        <v>33</v>
      </c>
    </row>
    <row r="30" spans="1:1" x14ac:dyDescent="0.3">
      <c r="A30" s="79" t="s">
        <v>34</v>
      </c>
    </row>
    <row r="31" spans="1:1" x14ac:dyDescent="0.3">
      <c r="A31" s="79" t="s">
        <v>35</v>
      </c>
    </row>
    <row r="32" spans="1:1" x14ac:dyDescent="0.3">
      <c r="A32" s="79" t="s">
        <v>36</v>
      </c>
    </row>
    <row r="33" spans="1:1" x14ac:dyDescent="0.3">
      <c r="A33" s="79" t="s">
        <v>37</v>
      </c>
    </row>
    <row r="34" spans="1:1" x14ac:dyDescent="0.3">
      <c r="A34" s="79" t="s">
        <v>38</v>
      </c>
    </row>
    <row r="35" spans="1:1" x14ac:dyDescent="0.3">
      <c r="A35" s="79" t="s">
        <v>39</v>
      </c>
    </row>
    <row r="36" spans="1:1" x14ac:dyDescent="0.3">
      <c r="A36" s="79" t="s">
        <v>40</v>
      </c>
    </row>
    <row r="37" spans="1:1" x14ac:dyDescent="0.3">
      <c r="A37" s="79" t="s">
        <v>41</v>
      </c>
    </row>
    <row r="38" spans="1:1" x14ac:dyDescent="0.3">
      <c r="A38" s="79" t="s">
        <v>42</v>
      </c>
    </row>
    <row r="39" spans="1:1" x14ac:dyDescent="0.3">
      <c r="A39" s="79" t="s">
        <v>43</v>
      </c>
    </row>
    <row r="40" spans="1:1" x14ac:dyDescent="0.3">
      <c r="A40" s="79" t="s">
        <v>44</v>
      </c>
    </row>
    <row r="41" spans="1:1" x14ac:dyDescent="0.3">
      <c r="A41" s="79" t="s">
        <v>45</v>
      </c>
    </row>
    <row r="42" spans="1:1" x14ac:dyDescent="0.3">
      <c r="A42" s="79" t="s">
        <v>46</v>
      </c>
    </row>
    <row r="43" spans="1:1" x14ac:dyDescent="0.3">
      <c r="A43" s="79" t="s">
        <v>47</v>
      </c>
    </row>
    <row r="44" spans="1:1" x14ac:dyDescent="0.3">
      <c r="A44" s="79" t="s">
        <v>48</v>
      </c>
    </row>
    <row r="45" spans="1:1" x14ac:dyDescent="0.3">
      <c r="A45" s="79" t="s">
        <v>49</v>
      </c>
    </row>
    <row r="46" spans="1:1" x14ac:dyDescent="0.3">
      <c r="A46" s="79" t="s">
        <v>50</v>
      </c>
    </row>
    <row r="47" spans="1:1" x14ac:dyDescent="0.3">
      <c r="A47" s="79" t="s">
        <v>51</v>
      </c>
    </row>
    <row r="48" spans="1:1" x14ac:dyDescent="0.3">
      <c r="A48" s="79" t="s">
        <v>52</v>
      </c>
    </row>
    <row r="49" spans="1:1" x14ac:dyDescent="0.3">
      <c r="A49" s="79" t="s">
        <v>53</v>
      </c>
    </row>
    <row r="50" spans="1:1" x14ac:dyDescent="0.3">
      <c r="A50" s="79" t="s">
        <v>54</v>
      </c>
    </row>
    <row r="51" spans="1:1" x14ac:dyDescent="0.3">
      <c r="A51" s="79" t="s">
        <v>55</v>
      </c>
    </row>
    <row r="52" spans="1:1" x14ac:dyDescent="0.3">
      <c r="A52" s="79" t="s">
        <v>56</v>
      </c>
    </row>
    <row r="53" spans="1:1" x14ac:dyDescent="0.3">
      <c r="A53" s="79" t="s">
        <v>57</v>
      </c>
    </row>
    <row r="54" spans="1:1" x14ac:dyDescent="0.3">
      <c r="A54" s="79" t="s">
        <v>58</v>
      </c>
    </row>
    <row r="55" spans="1:1" x14ac:dyDescent="0.3">
      <c r="A55" s="79" t="s">
        <v>59</v>
      </c>
    </row>
    <row r="56" spans="1:1" x14ac:dyDescent="0.3">
      <c r="A56" s="79" t="s">
        <v>60</v>
      </c>
    </row>
    <row r="57" spans="1:1" x14ac:dyDescent="0.3">
      <c r="A57" s="79" t="s">
        <v>61</v>
      </c>
    </row>
    <row r="58" spans="1:1" x14ac:dyDescent="0.3">
      <c r="A58" s="79" t="s">
        <v>62</v>
      </c>
    </row>
    <row r="59" spans="1:1" x14ac:dyDescent="0.3">
      <c r="A59" s="79" t="s">
        <v>63</v>
      </c>
    </row>
    <row r="60" spans="1:1" x14ac:dyDescent="0.3">
      <c r="A60" s="79" t="s">
        <v>64</v>
      </c>
    </row>
    <row r="61" spans="1:1" x14ac:dyDescent="0.3">
      <c r="A61" s="79" t="s">
        <v>65</v>
      </c>
    </row>
    <row r="62" spans="1:1" x14ac:dyDescent="0.3">
      <c r="A62" s="79" t="s">
        <v>66</v>
      </c>
    </row>
    <row r="63" spans="1:1" x14ac:dyDescent="0.3">
      <c r="A63" s="79" t="s">
        <v>67</v>
      </c>
    </row>
    <row r="64" spans="1:1" x14ac:dyDescent="0.3">
      <c r="A64" s="79" t="s">
        <v>68</v>
      </c>
    </row>
    <row r="65" spans="1:1" x14ac:dyDescent="0.3">
      <c r="A65" s="79" t="s">
        <v>69</v>
      </c>
    </row>
    <row r="66" spans="1:1" x14ac:dyDescent="0.3">
      <c r="A66" s="79" t="s">
        <v>70</v>
      </c>
    </row>
    <row r="67" spans="1:1" x14ac:dyDescent="0.3">
      <c r="A67" s="79" t="s">
        <v>71</v>
      </c>
    </row>
    <row r="68" spans="1:1" x14ac:dyDescent="0.3">
      <c r="A68" s="79" t="s">
        <v>72</v>
      </c>
    </row>
    <row r="69" spans="1:1" x14ac:dyDescent="0.3">
      <c r="A69" s="79" t="s">
        <v>73</v>
      </c>
    </row>
    <row r="70" spans="1:1" x14ac:dyDescent="0.3">
      <c r="A70" s="79" t="s">
        <v>74</v>
      </c>
    </row>
    <row r="71" spans="1:1" x14ac:dyDescent="0.3">
      <c r="A71" s="79" t="s">
        <v>75</v>
      </c>
    </row>
    <row r="72" spans="1:1" x14ac:dyDescent="0.3">
      <c r="A72" s="79" t="s">
        <v>76</v>
      </c>
    </row>
    <row r="73" spans="1:1" x14ac:dyDescent="0.3">
      <c r="A73" s="79" t="s">
        <v>77</v>
      </c>
    </row>
    <row r="74" spans="1:1" x14ac:dyDescent="0.3">
      <c r="A74" s="79" t="s">
        <v>78</v>
      </c>
    </row>
    <row r="75" spans="1:1" x14ac:dyDescent="0.3">
      <c r="A75" s="79" t="s">
        <v>79</v>
      </c>
    </row>
    <row r="76" spans="1:1" x14ac:dyDescent="0.3">
      <c r="A76" s="79" t="s">
        <v>80</v>
      </c>
    </row>
    <row r="77" spans="1:1" ht="15" thickBot="1" x14ac:dyDescent="0.35">
      <c r="A77" s="77" t="s">
        <v>81</v>
      </c>
    </row>
    <row r="78" spans="1:1" x14ac:dyDescent="0.3">
      <c r="A78" s="115"/>
    </row>
    <row r="80" spans="1:1" ht="15" thickBot="1" x14ac:dyDescent="0.35">
      <c r="A80" s="75" t="s">
        <v>107</v>
      </c>
    </row>
    <row r="81" spans="1:5" x14ac:dyDescent="0.3">
      <c r="A81" s="80" t="s">
        <v>425</v>
      </c>
    </row>
    <row r="82" spans="1:5" x14ac:dyDescent="0.3">
      <c r="A82" s="81" t="s">
        <v>426</v>
      </c>
    </row>
    <row r="83" spans="1:5" x14ac:dyDescent="0.3">
      <c r="A83" s="81" t="s">
        <v>427</v>
      </c>
    </row>
    <row r="84" spans="1:5" x14ac:dyDescent="0.3">
      <c r="A84" s="81" t="s">
        <v>428</v>
      </c>
    </row>
    <row r="85" spans="1:5" x14ac:dyDescent="0.3">
      <c r="A85" s="81" t="s">
        <v>429</v>
      </c>
    </row>
    <row r="86" spans="1:5" x14ac:dyDescent="0.3">
      <c r="A86" s="79" t="s">
        <v>82</v>
      </c>
      <c r="D86" s="82"/>
      <c r="E86" s="82"/>
    </row>
    <row r="87" spans="1:5" x14ac:dyDescent="0.3">
      <c r="A87" s="79" t="s">
        <v>83</v>
      </c>
      <c r="D87" s="82"/>
      <c r="E87" s="82"/>
    </row>
    <row r="88" spans="1:5" x14ac:dyDescent="0.3">
      <c r="A88" s="79" t="s">
        <v>84</v>
      </c>
      <c r="D88" s="82"/>
      <c r="E88" s="82"/>
    </row>
    <row r="89" spans="1:5" x14ac:dyDescent="0.3">
      <c r="A89" s="79" t="s">
        <v>85</v>
      </c>
      <c r="D89" s="82"/>
      <c r="E89" s="82"/>
    </row>
    <row r="90" spans="1:5" x14ac:dyDescent="0.3">
      <c r="A90" s="79" t="s">
        <v>86</v>
      </c>
      <c r="D90" s="82"/>
      <c r="E90" s="82"/>
    </row>
    <row r="91" spans="1:5" x14ac:dyDescent="0.3">
      <c r="A91" s="79" t="s">
        <v>87</v>
      </c>
      <c r="D91" s="82"/>
      <c r="E91" s="82"/>
    </row>
    <row r="92" spans="1:5" x14ac:dyDescent="0.3">
      <c r="A92" s="79" t="s">
        <v>88</v>
      </c>
      <c r="D92" s="82"/>
      <c r="E92" s="82"/>
    </row>
    <row r="93" spans="1:5" x14ac:dyDescent="0.3">
      <c r="A93" s="79" t="s">
        <v>89</v>
      </c>
      <c r="D93" s="82"/>
      <c r="E93" s="82"/>
    </row>
    <row r="94" spans="1:5" x14ac:dyDescent="0.3">
      <c r="A94" s="79" t="s">
        <v>90</v>
      </c>
      <c r="D94" s="82"/>
      <c r="E94" s="82"/>
    </row>
    <row r="95" spans="1:5" x14ac:dyDescent="0.3">
      <c r="A95" s="79" t="s">
        <v>91</v>
      </c>
      <c r="D95" s="82"/>
      <c r="E95" s="82"/>
    </row>
    <row r="96" spans="1:5" x14ac:dyDescent="0.3">
      <c r="A96" s="79" t="s">
        <v>92</v>
      </c>
      <c r="D96" s="82"/>
      <c r="E96" s="82"/>
    </row>
    <row r="97" spans="1:5" x14ac:dyDescent="0.3">
      <c r="A97" s="79" t="s">
        <v>93</v>
      </c>
      <c r="D97" s="82"/>
      <c r="E97" s="82"/>
    </row>
    <row r="98" spans="1:5" x14ac:dyDescent="0.3">
      <c r="A98" s="79" t="s">
        <v>94</v>
      </c>
      <c r="D98" s="82"/>
      <c r="E98" s="82"/>
    </row>
    <row r="99" spans="1:5" x14ac:dyDescent="0.3">
      <c r="A99" s="79" t="s">
        <v>95</v>
      </c>
      <c r="D99" s="82"/>
      <c r="E99" s="82"/>
    </row>
    <row r="100" spans="1:5" x14ac:dyDescent="0.3">
      <c r="A100" s="79" t="s">
        <v>96</v>
      </c>
      <c r="D100" s="82"/>
      <c r="E100" s="82"/>
    </row>
    <row r="101" spans="1:5" x14ac:dyDescent="0.3">
      <c r="A101" s="79" t="s">
        <v>97</v>
      </c>
      <c r="D101" s="82"/>
      <c r="E101" s="82"/>
    </row>
    <row r="102" spans="1:5" x14ac:dyDescent="0.3">
      <c r="A102" s="79" t="s">
        <v>98</v>
      </c>
      <c r="D102" s="82"/>
      <c r="E102" s="82"/>
    </row>
    <row r="103" spans="1:5" x14ac:dyDescent="0.3">
      <c r="A103" s="79" t="s">
        <v>99</v>
      </c>
      <c r="D103" s="82"/>
      <c r="E103" s="82"/>
    </row>
    <row r="104" spans="1:5" x14ac:dyDescent="0.3">
      <c r="A104" s="79" t="s">
        <v>100</v>
      </c>
      <c r="D104" s="82"/>
      <c r="E104" s="82"/>
    </row>
    <row r="105" spans="1:5" x14ac:dyDescent="0.3">
      <c r="A105" s="79" t="s">
        <v>101</v>
      </c>
      <c r="D105" s="82"/>
      <c r="E105" s="82"/>
    </row>
    <row r="106" spans="1:5" x14ac:dyDescent="0.3">
      <c r="A106" s="79" t="s">
        <v>102</v>
      </c>
      <c r="D106" s="82"/>
      <c r="E106" s="82"/>
    </row>
    <row r="107" spans="1:5" x14ac:dyDescent="0.3">
      <c r="A107" s="79" t="s">
        <v>103</v>
      </c>
      <c r="D107" s="82"/>
      <c r="E107" s="82"/>
    </row>
    <row r="108" spans="1:5" x14ac:dyDescent="0.3">
      <c r="A108" s="79" t="s">
        <v>231</v>
      </c>
      <c r="D108" s="82"/>
      <c r="E108" s="82"/>
    </row>
    <row r="109" spans="1:5" x14ac:dyDescent="0.3">
      <c r="A109" s="79" t="s">
        <v>222</v>
      </c>
      <c r="D109" s="82"/>
      <c r="E109" s="82"/>
    </row>
    <row r="110" spans="1:5" x14ac:dyDescent="0.3">
      <c r="A110" s="79" t="s">
        <v>223</v>
      </c>
      <c r="D110" s="82"/>
      <c r="E110" s="82"/>
    </row>
    <row r="111" spans="1:5" x14ac:dyDescent="0.3">
      <c r="A111" s="79" t="s">
        <v>224</v>
      </c>
      <c r="D111" s="82"/>
      <c r="E111" s="82"/>
    </row>
    <row r="112" spans="1:5" x14ac:dyDescent="0.3">
      <c r="A112" s="79" t="s">
        <v>219</v>
      </c>
      <c r="D112" s="82"/>
      <c r="E112" s="82"/>
    </row>
    <row r="113" spans="1:5" x14ac:dyDescent="0.3">
      <c r="A113" s="79" t="s">
        <v>220</v>
      </c>
      <c r="D113" s="82"/>
      <c r="E113" s="82"/>
    </row>
    <row r="114" spans="1:5" x14ac:dyDescent="0.3">
      <c r="A114" s="79" t="s">
        <v>221</v>
      </c>
      <c r="D114" s="82"/>
      <c r="E114" s="82"/>
    </row>
    <row r="115" spans="1:5" x14ac:dyDescent="0.3">
      <c r="A115" s="79" t="s">
        <v>104</v>
      </c>
      <c r="D115" s="82"/>
      <c r="E115" s="82"/>
    </row>
    <row r="116" spans="1:5" x14ac:dyDescent="0.3">
      <c r="A116" s="79" t="s">
        <v>105</v>
      </c>
      <c r="D116" s="82"/>
      <c r="E116" s="82"/>
    </row>
    <row r="117" spans="1:5" x14ac:dyDescent="0.3">
      <c r="A117" s="79" t="s">
        <v>106</v>
      </c>
      <c r="D117" s="82"/>
      <c r="E117" s="82"/>
    </row>
    <row r="118" spans="1:5" x14ac:dyDescent="0.3">
      <c r="A118" s="79" t="s">
        <v>229</v>
      </c>
      <c r="D118" s="82"/>
      <c r="E118" s="82"/>
    </row>
    <row r="119" spans="1:5" ht="15" thickBot="1" x14ac:dyDescent="0.35">
      <c r="A119" s="77" t="s">
        <v>404</v>
      </c>
      <c r="D119" s="82"/>
      <c r="E119" s="82"/>
    </row>
    <row r="120" spans="1:5" x14ac:dyDescent="0.3">
      <c r="A120" s="115"/>
      <c r="D120" s="82"/>
      <c r="E120" s="82"/>
    </row>
    <row r="122" spans="1:5" ht="15" thickBot="1" x14ac:dyDescent="0.35">
      <c r="A122" s="75" t="s">
        <v>178</v>
      </c>
    </row>
    <row r="123" spans="1:5" x14ac:dyDescent="0.3">
      <c r="A123" s="76" t="s">
        <v>108</v>
      </c>
    </row>
    <row r="124" spans="1:5" x14ac:dyDescent="0.3">
      <c r="A124" s="79" t="s">
        <v>109</v>
      </c>
    </row>
    <row r="125" spans="1:5" x14ac:dyDescent="0.3">
      <c r="A125" s="79" t="s">
        <v>110</v>
      </c>
    </row>
    <row r="126" spans="1:5" x14ac:dyDescent="0.3">
      <c r="A126" s="79" t="s">
        <v>111</v>
      </c>
    </row>
    <row r="127" spans="1:5" x14ac:dyDescent="0.3">
      <c r="A127" s="79" t="s">
        <v>112</v>
      </c>
    </row>
    <row r="128" spans="1:5" x14ac:dyDescent="0.3">
      <c r="A128" s="79" t="s">
        <v>113</v>
      </c>
    </row>
    <row r="129" spans="1:1" x14ac:dyDescent="0.3">
      <c r="A129" s="79" t="s">
        <v>114</v>
      </c>
    </row>
    <row r="130" spans="1:1" x14ac:dyDescent="0.3">
      <c r="A130" s="79" t="s">
        <v>115</v>
      </c>
    </row>
    <row r="131" spans="1:1" x14ac:dyDescent="0.3">
      <c r="A131" s="79" t="s">
        <v>116</v>
      </c>
    </row>
    <row r="132" spans="1:1" x14ac:dyDescent="0.3">
      <c r="A132" s="79" t="s">
        <v>117</v>
      </c>
    </row>
    <row r="133" spans="1:1" x14ac:dyDescent="0.3">
      <c r="A133" s="79" t="s">
        <v>118</v>
      </c>
    </row>
    <row r="134" spans="1:1" x14ac:dyDescent="0.3">
      <c r="A134" s="79" t="s">
        <v>119</v>
      </c>
    </row>
    <row r="135" spans="1:1" x14ac:dyDescent="0.3">
      <c r="A135" s="79" t="s">
        <v>120</v>
      </c>
    </row>
    <row r="136" spans="1:1" x14ac:dyDescent="0.3">
      <c r="A136" s="79" t="s">
        <v>121</v>
      </c>
    </row>
    <row r="137" spans="1:1" x14ac:dyDescent="0.3">
      <c r="A137" s="79" t="s">
        <v>122</v>
      </c>
    </row>
    <row r="138" spans="1:1" x14ac:dyDescent="0.3">
      <c r="A138" s="79" t="s">
        <v>123</v>
      </c>
    </row>
    <row r="139" spans="1:1" x14ac:dyDescent="0.3">
      <c r="A139" s="79" t="s">
        <v>124</v>
      </c>
    </row>
    <row r="140" spans="1:1" x14ac:dyDescent="0.3">
      <c r="A140" s="79" t="s">
        <v>125</v>
      </c>
    </row>
    <row r="141" spans="1:1" x14ac:dyDescent="0.3">
      <c r="A141" s="79" t="s">
        <v>126</v>
      </c>
    </row>
    <row r="142" spans="1:1" x14ac:dyDescent="0.3">
      <c r="A142" s="79" t="s">
        <v>127</v>
      </c>
    </row>
    <row r="143" spans="1:1" x14ac:dyDescent="0.3">
      <c r="A143" s="79" t="s">
        <v>128</v>
      </c>
    </row>
    <row r="144" spans="1:1" x14ac:dyDescent="0.3">
      <c r="A144" s="79" t="s">
        <v>129</v>
      </c>
    </row>
    <row r="145" spans="1:1" x14ac:dyDescent="0.3">
      <c r="A145" s="79" t="s">
        <v>242</v>
      </c>
    </row>
    <row r="146" spans="1:1" x14ac:dyDescent="0.3">
      <c r="A146" s="79" t="s">
        <v>130</v>
      </c>
    </row>
    <row r="147" spans="1:1" x14ac:dyDescent="0.3">
      <c r="A147" s="79" t="s">
        <v>131</v>
      </c>
    </row>
    <row r="148" spans="1:1" x14ac:dyDescent="0.3">
      <c r="A148" s="79" t="s">
        <v>243</v>
      </c>
    </row>
    <row r="149" spans="1:1" x14ac:dyDescent="0.3">
      <c r="A149" s="79" t="s">
        <v>132</v>
      </c>
    </row>
    <row r="150" spans="1:1" x14ac:dyDescent="0.3">
      <c r="A150" s="79" t="s">
        <v>133</v>
      </c>
    </row>
    <row r="151" spans="1:1" x14ac:dyDescent="0.3">
      <c r="A151" s="79" t="s">
        <v>244</v>
      </c>
    </row>
    <row r="152" spans="1:1" x14ac:dyDescent="0.3">
      <c r="A152" s="79" t="s">
        <v>134</v>
      </c>
    </row>
    <row r="153" spans="1:1" x14ac:dyDescent="0.3">
      <c r="A153" s="79" t="s">
        <v>135</v>
      </c>
    </row>
    <row r="154" spans="1:1" x14ac:dyDescent="0.3">
      <c r="A154" s="79" t="s">
        <v>245</v>
      </c>
    </row>
    <row r="155" spans="1:1" x14ac:dyDescent="0.3">
      <c r="A155" s="79" t="s">
        <v>136</v>
      </c>
    </row>
    <row r="156" spans="1:1" x14ac:dyDescent="0.3">
      <c r="A156" s="79" t="s">
        <v>137</v>
      </c>
    </row>
    <row r="157" spans="1:1" x14ac:dyDescent="0.3">
      <c r="A157" s="79" t="s">
        <v>246</v>
      </c>
    </row>
    <row r="158" spans="1:1" x14ac:dyDescent="0.3">
      <c r="A158" s="79" t="s">
        <v>138</v>
      </c>
    </row>
    <row r="159" spans="1:1" x14ac:dyDescent="0.3">
      <c r="A159" s="79" t="s">
        <v>139</v>
      </c>
    </row>
    <row r="160" spans="1:1" x14ac:dyDescent="0.3">
      <c r="A160" s="79" t="s">
        <v>247</v>
      </c>
    </row>
    <row r="161" spans="1:1" x14ac:dyDescent="0.3">
      <c r="A161" s="79" t="s">
        <v>140</v>
      </c>
    </row>
    <row r="162" spans="1:1" x14ac:dyDescent="0.3">
      <c r="A162" s="79" t="s">
        <v>141</v>
      </c>
    </row>
    <row r="163" spans="1:1" x14ac:dyDescent="0.3">
      <c r="A163" s="79" t="s">
        <v>142</v>
      </c>
    </row>
    <row r="164" spans="1:1" x14ac:dyDescent="0.3">
      <c r="A164" s="79" t="s">
        <v>143</v>
      </c>
    </row>
    <row r="165" spans="1:1" x14ac:dyDescent="0.3">
      <c r="A165" s="79" t="s">
        <v>144</v>
      </c>
    </row>
    <row r="166" spans="1:1" x14ac:dyDescent="0.3">
      <c r="A166" s="79" t="s">
        <v>145</v>
      </c>
    </row>
    <row r="167" spans="1:1" x14ac:dyDescent="0.3">
      <c r="A167" s="79" t="s">
        <v>248</v>
      </c>
    </row>
    <row r="168" spans="1:1" x14ac:dyDescent="0.3">
      <c r="A168" s="79" t="s">
        <v>146</v>
      </c>
    </row>
    <row r="169" spans="1:1" x14ac:dyDescent="0.3">
      <c r="A169" s="79" t="s">
        <v>147</v>
      </c>
    </row>
    <row r="170" spans="1:1" x14ac:dyDescent="0.3">
      <c r="A170" s="79" t="s">
        <v>148</v>
      </c>
    </row>
    <row r="171" spans="1:1" x14ac:dyDescent="0.3">
      <c r="A171" s="79" t="s">
        <v>149</v>
      </c>
    </row>
    <row r="172" spans="1:1" x14ac:dyDescent="0.3">
      <c r="A172" s="79" t="s">
        <v>249</v>
      </c>
    </row>
    <row r="173" spans="1:1" x14ac:dyDescent="0.3">
      <c r="A173" s="79" t="s">
        <v>150</v>
      </c>
    </row>
    <row r="174" spans="1:1" x14ac:dyDescent="0.3">
      <c r="A174" s="79" t="s">
        <v>151</v>
      </c>
    </row>
    <row r="175" spans="1:1" x14ac:dyDescent="0.3">
      <c r="A175" s="79" t="s">
        <v>152</v>
      </c>
    </row>
    <row r="176" spans="1:1" x14ac:dyDescent="0.3">
      <c r="A176" s="79" t="s">
        <v>153</v>
      </c>
    </row>
    <row r="177" spans="1:1" x14ac:dyDescent="0.3">
      <c r="A177" s="79" t="s">
        <v>154</v>
      </c>
    </row>
    <row r="178" spans="1:1" x14ac:dyDescent="0.3">
      <c r="A178" s="79" t="s">
        <v>155</v>
      </c>
    </row>
    <row r="179" spans="1:1" x14ac:dyDescent="0.3">
      <c r="A179" s="79" t="s">
        <v>156</v>
      </c>
    </row>
    <row r="180" spans="1:1" x14ac:dyDescent="0.3">
      <c r="A180" s="79" t="s">
        <v>157</v>
      </c>
    </row>
    <row r="181" spans="1:1" x14ac:dyDescent="0.3">
      <c r="A181" s="79" t="s">
        <v>158</v>
      </c>
    </row>
    <row r="182" spans="1:1" x14ac:dyDescent="0.3">
      <c r="A182" s="79" t="s">
        <v>159</v>
      </c>
    </row>
    <row r="183" spans="1:1" x14ac:dyDescent="0.3">
      <c r="A183" s="79" t="s">
        <v>160</v>
      </c>
    </row>
    <row r="184" spans="1:1" x14ac:dyDescent="0.3">
      <c r="A184" s="79" t="s">
        <v>161</v>
      </c>
    </row>
    <row r="185" spans="1:1" x14ac:dyDescent="0.3">
      <c r="A185" s="79" t="s">
        <v>250</v>
      </c>
    </row>
    <row r="186" spans="1:1" x14ac:dyDescent="0.3">
      <c r="A186" s="79" t="s">
        <v>162</v>
      </c>
    </row>
    <row r="187" spans="1:1" x14ac:dyDescent="0.3">
      <c r="A187" s="79" t="s">
        <v>163</v>
      </c>
    </row>
    <row r="188" spans="1:1" x14ac:dyDescent="0.3">
      <c r="A188" s="79" t="s">
        <v>164</v>
      </c>
    </row>
    <row r="189" spans="1:1" x14ac:dyDescent="0.3">
      <c r="A189" s="79" t="s">
        <v>165</v>
      </c>
    </row>
    <row r="190" spans="1:1" x14ac:dyDescent="0.3">
      <c r="A190" s="79" t="s">
        <v>251</v>
      </c>
    </row>
    <row r="191" spans="1:1" x14ac:dyDescent="0.3">
      <c r="A191" s="79" t="s">
        <v>166</v>
      </c>
    </row>
    <row r="192" spans="1:1" x14ac:dyDescent="0.3">
      <c r="A192" s="79" t="s">
        <v>167</v>
      </c>
    </row>
    <row r="193" spans="1:1" x14ac:dyDescent="0.3">
      <c r="A193" s="79" t="s">
        <v>168</v>
      </c>
    </row>
    <row r="194" spans="1:1" x14ac:dyDescent="0.3">
      <c r="A194" s="79" t="s">
        <v>169</v>
      </c>
    </row>
    <row r="195" spans="1:1" x14ac:dyDescent="0.3">
      <c r="A195" s="79" t="s">
        <v>252</v>
      </c>
    </row>
    <row r="196" spans="1:1" x14ac:dyDescent="0.3">
      <c r="A196" s="79" t="s">
        <v>170</v>
      </c>
    </row>
    <row r="197" spans="1:1" x14ac:dyDescent="0.3">
      <c r="A197" s="79" t="s">
        <v>171</v>
      </c>
    </row>
    <row r="198" spans="1:1" x14ac:dyDescent="0.3">
      <c r="A198" s="79" t="s">
        <v>172</v>
      </c>
    </row>
    <row r="199" spans="1:1" x14ac:dyDescent="0.3">
      <c r="A199" s="79" t="s">
        <v>173</v>
      </c>
    </row>
    <row r="200" spans="1:1" x14ac:dyDescent="0.3">
      <c r="A200" s="79" t="s">
        <v>253</v>
      </c>
    </row>
    <row r="201" spans="1:1" x14ac:dyDescent="0.3">
      <c r="A201" s="79" t="s">
        <v>254</v>
      </c>
    </row>
    <row r="202" spans="1:1" x14ac:dyDescent="0.3">
      <c r="A202" s="79" t="s">
        <v>255</v>
      </c>
    </row>
    <row r="203" spans="1:1" x14ac:dyDescent="0.3">
      <c r="A203" s="79" t="s">
        <v>256</v>
      </c>
    </row>
    <row r="204" spans="1:1" x14ac:dyDescent="0.3">
      <c r="A204" s="79" t="s">
        <v>257</v>
      </c>
    </row>
    <row r="205" spans="1:1" x14ac:dyDescent="0.3">
      <c r="A205" s="79" t="s">
        <v>258</v>
      </c>
    </row>
    <row r="206" spans="1:1" x14ac:dyDescent="0.3">
      <c r="A206" s="79" t="s">
        <v>174</v>
      </c>
    </row>
    <row r="207" spans="1:1" x14ac:dyDescent="0.3">
      <c r="A207" s="79" t="s">
        <v>175</v>
      </c>
    </row>
    <row r="208" spans="1:1" x14ac:dyDescent="0.3">
      <c r="A208" s="79" t="s">
        <v>176</v>
      </c>
    </row>
    <row r="209" spans="1:3" x14ac:dyDescent="0.3">
      <c r="A209" s="79" t="s">
        <v>177</v>
      </c>
    </row>
    <row r="210" spans="1:3" ht="15" thickBot="1" x14ac:dyDescent="0.35">
      <c r="A210" s="77" t="s">
        <v>404</v>
      </c>
    </row>
    <row r="211" spans="1:3" x14ac:dyDescent="0.3">
      <c r="A211" s="115"/>
    </row>
    <row r="212" spans="1:3" x14ac:dyDescent="0.3">
      <c r="A212" s="115"/>
    </row>
    <row r="213" spans="1:3" ht="15" thickBot="1" x14ac:dyDescent="0.35">
      <c r="A213" s="139" t="s">
        <v>555</v>
      </c>
      <c r="B213" s="95" t="s">
        <v>509</v>
      </c>
      <c r="C213" s="95" t="s">
        <v>568</v>
      </c>
    </row>
    <row r="214" spans="1:3" x14ac:dyDescent="0.3">
      <c r="A214" s="151" t="s">
        <v>201</v>
      </c>
      <c r="B214" s="105" t="s">
        <v>556</v>
      </c>
      <c r="C214" s="88" t="s">
        <v>405</v>
      </c>
    </row>
    <row r="215" spans="1:3" x14ac:dyDescent="0.3">
      <c r="A215" s="114" t="s">
        <v>202</v>
      </c>
      <c r="B215" s="109" t="s">
        <v>557</v>
      </c>
      <c r="C215" s="91" t="s">
        <v>405</v>
      </c>
    </row>
    <row r="216" spans="1:3" x14ac:dyDescent="0.3">
      <c r="A216" s="114" t="s">
        <v>203</v>
      </c>
      <c r="B216" s="109" t="s">
        <v>558</v>
      </c>
      <c r="C216" s="91" t="s">
        <v>179</v>
      </c>
    </row>
    <row r="217" spans="1:3" x14ac:dyDescent="0.3">
      <c r="A217" s="114" t="s">
        <v>8</v>
      </c>
      <c r="B217" s="109" t="s">
        <v>559</v>
      </c>
      <c r="C217" s="91" t="s">
        <v>4</v>
      </c>
    </row>
    <row r="218" spans="1:3" x14ac:dyDescent="0.3">
      <c r="A218" s="114" t="s">
        <v>204</v>
      </c>
      <c r="B218" s="109" t="s">
        <v>560</v>
      </c>
      <c r="C218" s="91" t="s">
        <v>4</v>
      </c>
    </row>
    <row r="219" spans="1:3" ht="15" thickBot="1" x14ac:dyDescent="0.35">
      <c r="A219" s="92" t="s">
        <v>205</v>
      </c>
      <c r="B219" s="152" t="s">
        <v>561</v>
      </c>
      <c r="C219" s="94" t="s">
        <v>179</v>
      </c>
    </row>
    <row r="220" spans="1:3" x14ac:dyDescent="0.3">
      <c r="A220" s="115"/>
      <c r="B220" s="109"/>
      <c r="C220" s="109"/>
    </row>
    <row r="222" spans="1:3" ht="15" thickBot="1" x14ac:dyDescent="0.35">
      <c r="A222" s="75" t="s">
        <v>180</v>
      </c>
    </row>
    <row r="223" spans="1:3" x14ac:dyDescent="0.3">
      <c r="A223" s="83" t="s">
        <v>182</v>
      </c>
      <c r="B223" s="168">
        <v>3.2000000000000001E-2</v>
      </c>
    </row>
    <row r="224" spans="1:3" ht="15" thickBot="1" x14ac:dyDescent="0.35">
      <c r="A224" s="84" t="s">
        <v>181</v>
      </c>
      <c r="B224" s="85">
        <v>0</v>
      </c>
    </row>
    <row r="225" spans="1:3" x14ac:dyDescent="0.3">
      <c r="A225" s="156"/>
      <c r="B225" s="157"/>
    </row>
    <row r="227" spans="1:3" ht="15" thickBot="1" x14ac:dyDescent="0.35">
      <c r="A227" s="75" t="s">
        <v>183</v>
      </c>
    </row>
    <row r="228" spans="1:3" x14ac:dyDescent="0.3">
      <c r="A228" s="86" t="s">
        <v>184</v>
      </c>
      <c r="B228" s="87">
        <v>0.36</v>
      </c>
      <c r="C228" s="88" t="s">
        <v>406</v>
      </c>
    </row>
    <row r="229" spans="1:3" x14ac:dyDescent="0.3">
      <c r="A229" s="89" t="s">
        <v>185</v>
      </c>
      <c r="B229" s="90">
        <v>0</v>
      </c>
      <c r="C229" s="91" t="s">
        <v>406</v>
      </c>
    </row>
    <row r="230" spans="1:3" ht="15" thickBot="1" x14ac:dyDescent="0.35">
      <c r="A230" s="92" t="s">
        <v>405</v>
      </c>
      <c r="B230" s="93">
        <v>0</v>
      </c>
      <c r="C230" s="94" t="s">
        <v>407</v>
      </c>
    </row>
    <row r="231" spans="1:3" x14ac:dyDescent="0.3">
      <c r="A231" s="115"/>
      <c r="B231" s="155"/>
      <c r="C231" s="109"/>
    </row>
    <row r="233" spans="1:3" ht="15" thickBot="1" x14ac:dyDescent="0.35">
      <c r="A233" s="95" t="s">
        <v>192</v>
      </c>
    </row>
    <row r="234" spans="1:3" x14ac:dyDescent="0.3">
      <c r="A234" s="96" t="s">
        <v>191</v>
      </c>
    </row>
    <row r="235" spans="1:3" x14ac:dyDescent="0.3">
      <c r="A235" s="97">
        <v>15</v>
      </c>
    </row>
    <row r="236" spans="1:3" x14ac:dyDescent="0.3">
      <c r="A236" s="97">
        <v>16</v>
      </c>
    </row>
    <row r="237" spans="1:3" x14ac:dyDescent="0.3">
      <c r="A237" s="97">
        <v>17</v>
      </c>
    </row>
    <row r="238" spans="1:3" x14ac:dyDescent="0.3">
      <c r="A238" s="98">
        <v>18</v>
      </c>
    </row>
    <row r="239" spans="1:3" x14ac:dyDescent="0.3">
      <c r="A239" s="98">
        <v>19</v>
      </c>
    </row>
    <row r="240" spans="1:3" x14ac:dyDescent="0.3">
      <c r="A240" s="98">
        <v>20</v>
      </c>
    </row>
    <row r="241" spans="1:1" x14ac:dyDescent="0.3">
      <c r="A241" s="98">
        <v>21</v>
      </c>
    </row>
    <row r="242" spans="1:1" x14ac:dyDescent="0.3">
      <c r="A242" s="98">
        <v>22</v>
      </c>
    </row>
    <row r="243" spans="1:1" x14ac:dyDescent="0.3">
      <c r="A243" s="98">
        <v>23</v>
      </c>
    </row>
    <row r="244" spans="1:1" x14ac:dyDescent="0.3">
      <c r="A244" s="98">
        <v>24</v>
      </c>
    </row>
    <row r="245" spans="1:1" ht="15" thickBot="1" x14ac:dyDescent="0.35">
      <c r="A245" s="99">
        <v>25</v>
      </c>
    </row>
    <row r="246" spans="1:1" x14ac:dyDescent="0.3">
      <c r="A246" s="154"/>
    </row>
    <row r="248" spans="1:1" ht="15" thickBot="1" x14ac:dyDescent="0.35">
      <c r="A248" s="75" t="s">
        <v>206</v>
      </c>
    </row>
    <row r="249" spans="1:1" x14ac:dyDescent="0.3">
      <c r="A249" s="100" t="s">
        <v>201</v>
      </c>
    </row>
    <row r="250" spans="1:1" x14ac:dyDescent="0.3">
      <c r="A250" s="101" t="s">
        <v>202</v>
      </c>
    </row>
    <row r="251" spans="1:1" x14ac:dyDescent="0.3">
      <c r="A251" s="101" t="s">
        <v>203</v>
      </c>
    </row>
    <row r="252" spans="1:1" x14ac:dyDescent="0.3">
      <c r="A252" s="101" t="s">
        <v>8</v>
      </c>
    </row>
    <row r="253" spans="1:1" x14ac:dyDescent="0.3">
      <c r="A253" s="101" t="s">
        <v>204</v>
      </c>
    </row>
    <row r="254" spans="1:1" x14ac:dyDescent="0.3">
      <c r="A254" s="101" t="s">
        <v>205</v>
      </c>
    </row>
    <row r="255" spans="1:1" ht="15" thickBot="1" x14ac:dyDescent="0.35">
      <c r="A255" s="102" t="s">
        <v>404</v>
      </c>
    </row>
    <row r="256" spans="1:1" x14ac:dyDescent="0.3">
      <c r="A256" s="153"/>
    </row>
    <row r="258" spans="1:6" ht="15" thickBot="1" x14ac:dyDescent="0.35">
      <c r="A258" s="75" t="s">
        <v>510</v>
      </c>
      <c r="B258" s="95" t="s">
        <v>241</v>
      </c>
      <c r="D258" s="95" t="s">
        <v>507</v>
      </c>
      <c r="E258" s="95" t="s">
        <v>508</v>
      </c>
      <c r="F258" s="95" t="s">
        <v>509</v>
      </c>
    </row>
    <row r="259" spans="1:6" x14ac:dyDescent="0.3">
      <c r="A259" s="103" t="s">
        <v>82</v>
      </c>
      <c r="B259" s="104">
        <v>4</v>
      </c>
      <c r="C259" s="105" t="s">
        <v>289</v>
      </c>
      <c r="D259" s="105" t="s">
        <v>203</v>
      </c>
      <c r="E259" s="106" t="s">
        <v>259</v>
      </c>
      <c r="F259" s="88" t="s">
        <v>371</v>
      </c>
    </row>
    <row r="260" spans="1:6" x14ac:dyDescent="0.3">
      <c r="A260" s="107" t="s">
        <v>82</v>
      </c>
      <c r="B260" s="108">
        <v>5</v>
      </c>
      <c r="C260" s="109" t="s">
        <v>290</v>
      </c>
      <c r="D260" s="109" t="s">
        <v>8</v>
      </c>
      <c r="E260" s="110" t="s">
        <v>259</v>
      </c>
      <c r="F260" s="91" t="s">
        <v>371</v>
      </c>
    </row>
    <row r="261" spans="1:6" x14ac:dyDescent="0.3">
      <c r="A261" s="107" t="s">
        <v>83</v>
      </c>
      <c r="B261" s="108">
        <v>4</v>
      </c>
      <c r="C261" s="109" t="s">
        <v>291</v>
      </c>
      <c r="D261" s="109" t="s">
        <v>203</v>
      </c>
      <c r="E261" s="110" t="s">
        <v>260</v>
      </c>
      <c r="F261" s="91" t="s">
        <v>372</v>
      </c>
    </row>
    <row r="262" spans="1:6" x14ac:dyDescent="0.3">
      <c r="A262" s="107" t="s">
        <v>86</v>
      </c>
      <c r="B262" s="108">
        <v>4</v>
      </c>
      <c r="C262" s="109" t="s">
        <v>292</v>
      </c>
      <c r="D262" s="109" t="s">
        <v>203</v>
      </c>
      <c r="E262" s="110" t="s">
        <v>261</v>
      </c>
      <c r="F262" s="91" t="s">
        <v>373</v>
      </c>
    </row>
    <row r="263" spans="1:6" x14ac:dyDescent="0.3">
      <c r="A263" s="107" t="s">
        <v>87</v>
      </c>
      <c r="B263" s="108">
        <v>4</v>
      </c>
      <c r="C263" s="109" t="s">
        <v>293</v>
      </c>
      <c r="D263" s="109" t="s">
        <v>203</v>
      </c>
      <c r="E263" s="110" t="s">
        <v>262</v>
      </c>
      <c r="F263" s="91" t="s">
        <v>374</v>
      </c>
    </row>
    <row r="264" spans="1:6" x14ac:dyDescent="0.3">
      <c r="A264" s="107" t="s">
        <v>88</v>
      </c>
      <c r="B264" s="108">
        <v>4</v>
      </c>
      <c r="C264" s="109" t="s">
        <v>294</v>
      </c>
      <c r="D264" s="109" t="s">
        <v>203</v>
      </c>
      <c r="E264" s="110" t="s">
        <v>263</v>
      </c>
      <c r="F264" s="91" t="s">
        <v>375</v>
      </c>
    </row>
    <row r="265" spans="1:6" x14ac:dyDescent="0.3">
      <c r="A265" s="107" t="s">
        <v>84</v>
      </c>
      <c r="B265" s="108">
        <v>4</v>
      </c>
      <c r="C265" s="109" t="s">
        <v>295</v>
      </c>
      <c r="D265" s="109" t="s">
        <v>203</v>
      </c>
      <c r="E265" s="110" t="s">
        <v>264</v>
      </c>
      <c r="F265" s="91" t="s">
        <v>376</v>
      </c>
    </row>
    <row r="266" spans="1:6" x14ac:dyDescent="0.3">
      <c r="A266" s="107" t="s">
        <v>85</v>
      </c>
      <c r="B266" s="108">
        <v>4</v>
      </c>
      <c r="C266" s="109" t="s">
        <v>296</v>
      </c>
      <c r="D266" s="109" t="s">
        <v>203</v>
      </c>
      <c r="E266" s="110" t="s">
        <v>265</v>
      </c>
      <c r="F266" s="91" t="s">
        <v>377</v>
      </c>
    </row>
    <row r="267" spans="1:6" x14ac:dyDescent="0.3">
      <c r="A267" s="107" t="s">
        <v>89</v>
      </c>
      <c r="B267" s="108">
        <v>4</v>
      </c>
      <c r="C267" s="109" t="s">
        <v>297</v>
      </c>
      <c r="D267" s="109" t="s">
        <v>203</v>
      </c>
      <c r="E267" s="110" t="s">
        <v>266</v>
      </c>
      <c r="F267" s="91" t="s">
        <v>378</v>
      </c>
    </row>
    <row r="268" spans="1:6" x14ac:dyDescent="0.3">
      <c r="A268" s="107" t="s">
        <v>89</v>
      </c>
      <c r="B268" s="108">
        <v>5</v>
      </c>
      <c r="C268" s="109" t="s">
        <v>298</v>
      </c>
      <c r="D268" s="109" t="s">
        <v>8</v>
      </c>
      <c r="E268" s="110" t="s">
        <v>266</v>
      </c>
      <c r="F268" s="91" t="s">
        <v>378</v>
      </c>
    </row>
    <row r="269" spans="1:6" x14ac:dyDescent="0.3">
      <c r="A269" s="107" t="s">
        <v>90</v>
      </c>
      <c r="B269" s="108">
        <v>6</v>
      </c>
      <c r="C269" s="109" t="s">
        <v>299</v>
      </c>
      <c r="D269" s="109" t="s">
        <v>204</v>
      </c>
      <c r="E269" s="110" t="s">
        <v>267</v>
      </c>
      <c r="F269" s="91" t="s">
        <v>379</v>
      </c>
    </row>
    <row r="270" spans="1:6" x14ac:dyDescent="0.3">
      <c r="A270" s="107" t="s">
        <v>90</v>
      </c>
      <c r="B270" s="108">
        <v>7</v>
      </c>
      <c r="C270" s="109" t="s">
        <v>300</v>
      </c>
      <c r="D270" s="109" t="s">
        <v>205</v>
      </c>
      <c r="E270" s="110" t="s">
        <v>267</v>
      </c>
      <c r="F270" s="91" t="s">
        <v>379</v>
      </c>
    </row>
    <row r="271" spans="1:6" x14ac:dyDescent="0.3">
      <c r="A271" s="107" t="s">
        <v>91</v>
      </c>
      <c r="B271" s="108">
        <v>4</v>
      </c>
      <c r="C271" s="109" t="s">
        <v>301</v>
      </c>
      <c r="D271" s="109" t="s">
        <v>203</v>
      </c>
      <c r="E271" s="110" t="s">
        <v>268</v>
      </c>
      <c r="F271" s="91" t="s">
        <v>380</v>
      </c>
    </row>
    <row r="272" spans="1:6" x14ac:dyDescent="0.3">
      <c r="A272" s="107" t="s">
        <v>91</v>
      </c>
      <c r="B272" s="108">
        <v>5</v>
      </c>
      <c r="C272" s="109" t="s">
        <v>302</v>
      </c>
      <c r="D272" s="109" t="s">
        <v>8</v>
      </c>
      <c r="E272" s="110" t="s">
        <v>268</v>
      </c>
      <c r="F272" s="91" t="s">
        <v>380</v>
      </c>
    </row>
    <row r="273" spans="1:6" x14ac:dyDescent="0.3">
      <c r="A273" s="107" t="s">
        <v>91</v>
      </c>
      <c r="B273" s="108">
        <v>6</v>
      </c>
      <c r="C273" s="109" t="s">
        <v>303</v>
      </c>
      <c r="D273" s="109" t="s">
        <v>204</v>
      </c>
      <c r="E273" s="110" t="s">
        <v>268</v>
      </c>
      <c r="F273" s="91" t="s">
        <v>380</v>
      </c>
    </row>
    <row r="274" spans="1:6" x14ac:dyDescent="0.3">
      <c r="A274" s="107" t="s">
        <v>91</v>
      </c>
      <c r="B274" s="108">
        <v>7</v>
      </c>
      <c r="C274" s="109" t="s">
        <v>304</v>
      </c>
      <c r="D274" s="109" t="s">
        <v>205</v>
      </c>
      <c r="E274" s="110" t="s">
        <v>268</v>
      </c>
      <c r="F274" s="91" t="s">
        <v>380</v>
      </c>
    </row>
    <row r="275" spans="1:6" x14ac:dyDescent="0.3">
      <c r="A275" s="107" t="s">
        <v>92</v>
      </c>
      <c r="B275" s="108">
        <v>6</v>
      </c>
      <c r="C275" s="109" t="s">
        <v>305</v>
      </c>
      <c r="D275" s="109" t="s">
        <v>204</v>
      </c>
      <c r="E275" s="110" t="s">
        <v>269</v>
      </c>
      <c r="F275" s="91" t="s">
        <v>381</v>
      </c>
    </row>
    <row r="276" spans="1:6" x14ac:dyDescent="0.3">
      <c r="A276" s="107" t="s">
        <v>92</v>
      </c>
      <c r="B276" s="108">
        <v>7</v>
      </c>
      <c r="C276" s="109" t="s">
        <v>306</v>
      </c>
      <c r="D276" s="109" t="s">
        <v>205</v>
      </c>
      <c r="E276" s="110" t="s">
        <v>269</v>
      </c>
      <c r="F276" s="91" t="s">
        <v>381</v>
      </c>
    </row>
    <row r="277" spans="1:6" x14ac:dyDescent="0.3">
      <c r="A277" s="107" t="s">
        <v>93</v>
      </c>
      <c r="B277" s="108">
        <v>4</v>
      </c>
      <c r="C277" s="109" t="s">
        <v>307</v>
      </c>
      <c r="D277" s="109" t="s">
        <v>203</v>
      </c>
      <c r="E277" s="110" t="s">
        <v>270</v>
      </c>
      <c r="F277" s="91" t="s">
        <v>382</v>
      </c>
    </row>
    <row r="278" spans="1:6" x14ac:dyDescent="0.3">
      <c r="A278" s="107" t="s">
        <v>93</v>
      </c>
      <c r="B278" s="108">
        <v>5</v>
      </c>
      <c r="C278" s="109" t="s">
        <v>308</v>
      </c>
      <c r="D278" s="109" t="s">
        <v>8</v>
      </c>
      <c r="E278" s="110" t="s">
        <v>270</v>
      </c>
      <c r="F278" s="91" t="s">
        <v>382</v>
      </c>
    </row>
    <row r="279" spans="1:6" x14ac:dyDescent="0.3">
      <c r="A279" s="107" t="s">
        <v>93</v>
      </c>
      <c r="B279" s="108">
        <v>6</v>
      </c>
      <c r="C279" s="109" t="s">
        <v>309</v>
      </c>
      <c r="D279" s="109" t="s">
        <v>204</v>
      </c>
      <c r="E279" s="110" t="s">
        <v>270</v>
      </c>
      <c r="F279" s="91" t="s">
        <v>382</v>
      </c>
    </row>
    <row r="280" spans="1:6" x14ac:dyDescent="0.3">
      <c r="A280" s="107" t="s">
        <v>93</v>
      </c>
      <c r="B280" s="108">
        <v>7</v>
      </c>
      <c r="C280" s="109" t="s">
        <v>310</v>
      </c>
      <c r="D280" s="109" t="s">
        <v>205</v>
      </c>
      <c r="E280" s="110" t="s">
        <v>270</v>
      </c>
      <c r="F280" s="91" t="s">
        <v>382</v>
      </c>
    </row>
    <row r="281" spans="1:6" x14ac:dyDescent="0.3">
      <c r="A281" s="107" t="s">
        <v>94</v>
      </c>
      <c r="B281" s="108">
        <v>4</v>
      </c>
      <c r="C281" s="109" t="s">
        <v>311</v>
      </c>
      <c r="D281" s="109" t="s">
        <v>203</v>
      </c>
      <c r="E281" s="110" t="s">
        <v>271</v>
      </c>
      <c r="F281" s="91" t="s">
        <v>383</v>
      </c>
    </row>
    <row r="282" spans="1:6" x14ac:dyDescent="0.3">
      <c r="A282" s="107" t="s">
        <v>94</v>
      </c>
      <c r="B282" s="108">
        <v>5</v>
      </c>
      <c r="C282" s="109" t="s">
        <v>312</v>
      </c>
      <c r="D282" s="109" t="s">
        <v>8</v>
      </c>
      <c r="E282" s="110" t="s">
        <v>271</v>
      </c>
      <c r="F282" s="91" t="s">
        <v>383</v>
      </c>
    </row>
    <row r="283" spans="1:6" x14ac:dyDescent="0.3">
      <c r="A283" s="107" t="s">
        <v>94</v>
      </c>
      <c r="B283" s="108">
        <v>6</v>
      </c>
      <c r="C283" s="109" t="s">
        <v>313</v>
      </c>
      <c r="D283" s="109" t="s">
        <v>204</v>
      </c>
      <c r="E283" s="110" t="s">
        <v>271</v>
      </c>
      <c r="F283" s="91" t="s">
        <v>383</v>
      </c>
    </row>
    <row r="284" spans="1:6" x14ac:dyDescent="0.3">
      <c r="A284" s="107" t="s">
        <v>94</v>
      </c>
      <c r="B284" s="108">
        <v>7</v>
      </c>
      <c r="C284" s="109" t="s">
        <v>314</v>
      </c>
      <c r="D284" s="109" t="s">
        <v>205</v>
      </c>
      <c r="E284" s="110" t="s">
        <v>271</v>
      </c>
      <c r="F284" s="91" t="s">
        <v>383</v>
      </c>
    </row>
    <row r="285" spans="1:6" x14ac:dyDescent="0.3">
      <c r="A285" s="107" t="s">
        <v>95</v>
      </c>
      <c r="B285" s="108">
        <v>4</v>
      </c>
      <c r="C285" s="109" t="s">
        <v>315</v>
      </c>
      <c r="D285" s="109" t="s">
        <v>203</v>
      </c>
      <c r="E285" s="110" t="s">
        <v>272</v>
      </c>
      <c r="F285" s="91" t="s">
        <v>384</v>
      </c>
    </row>
    <row r="286" spans="1:6" x14ac:dyDescent="0.3">
      <c r="A286" s="107" t="s">
        <v>95</v>
      </c>
      <c r="B286" s="108">
        <v>5</v>
      </c>
      <c r="C286" s="109" t="s">
        <v>316</v>
      </c>
      <c r="D286" s="109" t="s">
        <v>8</v>
      </c>
      <c r="E286" s="110" t="s">
        <v>272</v>
      </c>
      <c r="F286" s="91" t="s">
        <v>384</v>
      </c>
    </row>
    <row r="287" spans="1:6" x14ac:dyDescent="0.3">
      <c r="A287" s="107" t="s">
        <v>95</v>
      </c>
      <c r="B287" s="108">
        <v>6</v>
      </c>
      <c r="C287" s="109" t="s">
        <v>317</v>
      </c>
      <c r="D287" s="109" t="s">
        <v>204</v>
      </c>
      <c r="E287" s="110" t="s">
        <v>272</v>
      </c>
      <c r="F287" s="91" t="s">
        <v>384</v>
      </c>
    </row>
    <row r="288" spans="1:6" x14ac:dyDescent="0.3">
      <c r="A288" s="107" t="s">
        <v>95</v>
      </c>
      <c r="B288" s="108">
        <v>7</v>
      </c>
      <c r="C288" s="109" t="s">
        <v>318</v>
      </c>
      <c r="D288" s="109" t="s">
        <v>205</v>
      </c>
      <c r="E288" s="110" t="s">
        <v>272</v>
      </c>
      <c r="F288" s="91" t="s">
        <v>384</v>
      </c>
    </row>
    <row r="289" spans="1:6" x14ac:dyDescent="0.3">
      <c r="A289" s="107" t="s">
        <v>96</v>
      </c>
      <c r="B289" s="108">
        <v>4</v>
      </c>
      <c r="C289" s="109" t="s">
        <v>319</v>
      </c>
      <c r="D289" s="109" t="s">
        <v>203</v>
      </c>
      <c r="E289" s="110" t="s">
        <v>273</v>
      </c>
      <c r="F289" s="91" t="s">
        <v>385</v>
      </c>
    </row>
    <row r="290" spans="1:6" x14ac:dyDescent="0.3">
      <c r="A290" s="107" t="s">
        <v>96</v>
      </c>
      <c r="B290" s="108">
        <v>5</v>
      </c>
      <c r="C290" s="109" t="s">
        <v>320</v>
      </c>
      <c r="D290" s="109" t="s">
        <v>8</v>
      </c>
      <c r="E290" s="110" t="s">
        <v>273</v>
      </c>
      <c r="F290" s="91" t="s">
        <v>385</v>
      </c>
    </row>
    <row r="291" spans="1:6" x14ac:dyDescent="0.3">
      <c r="A291" s="107" t="s">
        <v>96</v>
      </c>
      <c r="B291" s="108">
        <v>6</v>
      </c>
      <c r="C291" s="109" t="s">
        <v>321</v>
      </c>
      <c r="D291" s="109" t="s">
        <v>204</v>
      </c>
      <c r="E291" s="110" t="s">
        <v>273</v>
      </c>
      <c r="F291" s="91" t="s">
        <v>385</v>
      </c>
    </row>
    <row r="292" spans="1:6" x14ac:dyDescent="0.3">
      <c r="A292" s="107" t="s">
        <v>96</v>
      </c>
      <c r="B292" s="108">
        <v>7</v>
      </c>
      <c r="C292" s="109" t="s">
        <v>322</v>
      </c>
      <c r="D292" s="109" t="s">
        <v>205</v>
      </c>
      <c r="E292" s="110" t="s">
        <v>273</v>
      </c>
      <c r="F292" s="91" t="s">
        <v>385</v>
      </c>
    </row>
    <row r="293" spans="1:6" x14ac:dyDescent="0.3">
      <c r="A293" s="107" t="s">
        <v>97</v>
      </c>
      <c r="B293" s="108">
        <v>4</v>
      </c>
      <c r="C293" s="109" t="s">
        <v>323</v>
      </c>
      <c r="D293" s="109" t="s">
        <v>203</v>
      </c>
      <c r="E293" s="110" t="s">
        <v>274</v>
      </c>
      <c r="F293" s="91" t="s">
        <v>386</v>
      </c>
    </row>
    <row r="294" spans="1:6" x14ac:dyDescent="0.3">
      <c r="A294" s="107" t="s">
        <v>97</v>
      </c>
      <c r="B294" s="108">
        <v>5</v>
      </c>
      <c r="C294" s="109" t="s">
        <v>324</v>
      </c>
      <c r="D294" s="109" t="s">
        <v>8</v>
      </c>
      <c r="E294" s="110" t="s">
        <v>274</v>
      </c>
      <c r="F294" s="91" t="s">
        <v>386</v>
      </c>
    </row>
    <row r="295" spans="1:6" x14ac:dyDescent="0.3">
      <c r="A295" s="107" t="s">
        <v>97</v>
      </c>
      <c r="B295" s="108">
        <v>6</v>
      </c>
      <c r="C295" s="109" t="s">
        <v>325</v>
      </c>
      <c r="D295" s="109" t="s">
        <v>204</v>
      </c>
      <c r="E295" s="110" t="s">
        <v>274</v>
      </c>
      <c r="F295" s="91" t="s">
        <v>386</v>
      </c>
    </row>
    <row r="296" spans="1:6" x14ac:dyDescent="0.3">
      <c r="A296" s="107" t="s">
        <v>97</v>
      </c>
      <c r="B296" s="108">
        <v>7</v>
      </c>
      <c r="C296" s="109" t="s">
        <v>326</v>
      </c>
      <c r="D296" s="109" t="s">
        <v>205</v>
      </c>
      <c r="E296" s="110" t="s">
        <v>274</v>
      </c>
      <c r="F296" s="91" t="s">
        <v>386</v>
      </c>
    </row>
    <row r="297" spans="1:6" x14ac:dyDescent="0.3">
      <c r="A297" s="107" t="s">
        <v>98</v>
      </c>
      <c r="B297" s="108">
        <v>4</v>
      </c>
      <c r="C297" s="109" t="s">
        <v>327</v>
      </c>
      <c r="D297" s="109" t="s">
        <v>203</v>
      </c>
      <c r="E297" s="110" t="s">
        <v>275</v>
      </c>
      <c r="F297" s="91" t="s">
        <v>387</v>
      </c>
    </row>
    <row r="298" spans="1:6" x14ac:dyDescent="0.3">
      <c r="A298" s="107" t="s">
        <v>98</v>
      </c>
      <c r="B298" s="108">
        <v>5</v>
      </c>
      <c r="C298" s="109" t="s">
        <v>328</v>
      </c>
      <c r="D298" s="109" t="s">
        <v>8</v>
      </c>
      <c r="E298" s="110" t="s">
        <v>275</v>
      </c>
      <c r="F298" s="91" t="s">
        <v>387</v>
      </c>
    </row>
    <row r="299" spans="1:6" x14ac:dyDescent="0.3">
      <c r="A299" s="107" t="s">
        <v>98</v>
      </c>
      <c r="B299" s="108">
        <v>6</v>
      </c>
      <c r="C299" s="109" t="s">
        <v>329</v>
      </c>
      <c r="D299" s="109" t="s">
        <v>204</v>
      </c>
      <c r="E299" s="110" t="s">
        <v>275</v>
      </c>
      <c r="F299" s="91" t="s">
        <v>387</v>
      </c>
    </row>
    <row r="300" spans="1:6" x14ac:dyDescent="0.3">
      <c r="A300" s="107" t="s">
        <v>98</v>
      </c>
      <c r="B300" s="108">
        <v>7</v>
      </c>
      <c r="C300" s="109" t="s">
        <v>330</v>
      </c>
      <c r="D300" s="109" t="s">
        <v>205</v>
      </c>
      <c r="E300" s="110" t="s">
        <v>275</v>
      </c>
      <c r="F300" s="91" t="s">
        <v>387</v>
      </c>
    </row>
    <row r="301" spans="1:6" x14ac:dyDescent="0.3">
      <c r="A301" s="107" t="s">
        <v>99</v>
      </c>
      <c r="B301" s="108">
        <v>4</v>
      </c>
      <c r="C301" s="109" t="s">
        <v>331</v>
      </c>
      <c r="D301" s="109" t="s">
        <v>203</v>
      </c>
      <c r="E301" s="110" t="s">
        <v>276</v>
      </c>
      <c r="F301" s="91" t="s">
        <v>388</v>
      </c>
    </row>
    <row r="302" spans="1:6" x14ac:dyDescent="0.3">
      <c r="A302" s="107" t="s">
        <v>99</v>
      </c>
      <c r="B302" s="108">
        <v>5</v>
      </c>
      <c r="C302" s="109" t="s">
        <v>332</v>
      </c>
      <c r="D302" s="109" t="s">
        <v>8</v>
      </c>
      <c r="E302" s="110" t="s">
        <v>276</v>
      </c>
      <c r="F302" s="91" t="s">
        <v>388</v>
      </c>
    </row>
    <row r="303" spans="1:6" x14ac:dyDescent="0.3">
      <c r="A303" s="107" t="s">
        <v>99</v>
      </c>
      <c r="B303" s="108">
        <v>6</v>
      </c>
      <c r="C303" s="109" t="s">
        <v>333</v>
      </c>
      <c r="D303" s="109" t="s">
        <v>204</v>
      </c>
      <c r="E303" s="110" t="s">
        <v>276</v>
      </c>
      <c r="F303" s="91" t="s">
        <v>388</v>
      </c>
    </row>
    <row r="304" spans="1:6" x14ac:dyDescent="0.3">
      <c r="A304" s="107" t="s">
        <v>99</v>
      </c>
      <c r="B304" s="108">
        <v>7</v>
      </c>
      <c r="C304" s="109" t="s">
        <v>334</v>
      </c>
      <c r="D304" s="109" t="s">
        <v>205</v>
      </c>
      <c r="E304" s="110" t="s">
        <v>276</v>
      </c>
      <c r="F304" s="91" t="s">
        <v>388</v>
      </c>
    </row>
    <row r="305" spans="1:6" x14ac:dyDescent="0.3">
      <c r="A305" s="107" t="s">
        <v>100</v>
      </c>
      <c r="B305" s="108">
        <v>4</v>
      </c>
      <c r="C305" s="109" t="s">
        <v>335</v>
      </c>
      <c r="D305" s="109" t="s">
        <v>203</v>
      </c>
      <c r="E305" s="110" t="s">
        <v>100</v>
      </c>
      <c r="F305" s="91" t="s">
        <v>389</v>
      </c>
    </row>
    <row r="306" spans="1:6" x14ac:dyDescent="0.3">
      <c r="A306" s="107" t="s">
        <v>100</v>
      </c>
      <c r="B306" s="108">
        <v>5</v>
      </c>
      <c r="C306" s="109" t="s">
        <v>336</v>
      </c>
      <c r="D306" s="109" t="s">
        <v>8</v>
      </c>
      <c r="E306" s="110" t="s">
        <v>100</v>
      </c>
      <c r="F306" s="91" t="s">
        <v>389</v>
      </c>
    </row>
    <row r="307" spans="1:6" x14ac:dyDescent="0.3">
      <c r="A307" s="107" t="s">
        <v>100</v>
      </c>
      <c r="B307" s="108">
        <v>6</v>
      </c>
      <c r="C307" s="109" t="s">
        <v>337</v>
      </c>
      <c r="D307" s="109" t="s">
        <v>204</v>
      </c>
      <c r="E307" s="110" t="s">
        <v>100</v>
      </c>
      <c r="F307" s="91" t="s">
        <v>389</v>
      </c>
    </row>
    <row r="308" spans="1:6" x14ac:dyDescent="0.3">
      <c r="A308" s="107" t="s">
        <v>100</v>
      </c>
      <c r="B308" s="108">
        <v>7</v>
      </c>
      <c r="C308" s="109" t="s">
        <v>338</v>
      </c>
      <c r="D308" s="109" t="s">
        <v>205</v>
      </c>
      <c r="E308" s="110" t="s">
        <v>100</v>
      </c>
      <c r="F308" s="91" t="s">
        <v>389</v>
      </c>
    </row>
    <row r="309" spans="1:6" x14ac:dyDescent="0.3">
      <c r="A309" s="107" t="s">
        <v>101</v>
      </c>
      <c r="B309" s="108">
        <v>4</v>
      </c>
      <c r="C309" s="109" t="s">
        <v>339</v>
      </c>
      <c r="D309" s="109" t="s">
        <v>203</v>
      </c>
      <c r="E309" s="110" t="s">
        <v>101</v>
      </c>
      <c r="F309" s="91" t="s">
        <v>390</v>
      </c>
    </row>
    <row r="310" spans="1:6" x14ac:dyDescent="0.3">
      <c r="A310" s="107" t="s">
        <v>101</v>
      </c>
      <c r="B310" s="108">
        <v>5</v>
      </c>
      <c r="C310" s="109" t="s">
        <v>340</v>
      </c>
      <c r="D310" s="109" t="s">
        <v>8</v>
      </c>
      <c r="E310" s="110" t="s">
        <v>101</v>
      </c>
      <c r="F310" s="91" t="s">
        <v>390</v>
      </c>
    </row>
    <row r="311" spans="1:6" x14ac:dyDescent="0.3">
      <c r="A311" s="107" t="s">
        <v>101</v>
      </c>
      <c r="B311" s="108">
        <v>6</v>
      </c>
      <c r="C311" s="109" t="s">
        <v>341</v>
      </c>
      <c r="D311" s="109" t="s">
        <v>204</v>
      </c>
      <c r="E311" s="110" t="s">
        <v>101</v>
      </c>
      <c r="F311" s="91" t="s">
        <v>390</v>
      </c>
    </row>
    <row r="312" spans="1:6" x14ac:dyDescent="0.3">
      <c r="A312" s="107" t="s">
        <v>101</v>
      </c>
      <c r="B312" s="108">
        <v>7</v>
      </c>
      <c r="C312" s="109" t="s">
        <v>342</v>
      </c>
      <c r="D312" s="109" t="s">
        <v>205</v>
      </c>
      <c r="E312" s="110" t="s">
        <v>101</v>
      </c>
      <c r="F312" s="91" t="s">
        <v>390</v>
      </c>
    </row>
    <row r="313" spans="1:6" x14ac:dyDescent="0.3">
      <c r="A313" s="107" t="s">
        <v>231</v>
      </c>
      <c r="B313" s="108">
        <v>4</v>
      </c>
      <c r="C313" s="109" t="s">
        <v>343</v>
      </c>
      <c r="D313" s="109" t="s">
        <v>203</v>
      </c>
      <c r="E313" s="110" t="s">
        <v>231</v>
      </c>
      <c r="F313" s="91" t="s">
        <v>391</v>
      </c>
    </row>
    <row r="314" spans="1:6" x14ac:dyDescent="0.3">
      <c r="A314" s="107" t="s">
        <v>231</v>
      </c>
      <c r="B314" s="108">
        <v>5</v>
      </c>
      <c r="C314" s="109" t="s">
        <v>344</v>
      </c>
      <c r="D314" s="109" t="s">
        <v>8</v>
      </c>
      <c r="E314" s="110" t="s">
        <v>231</v>
      </c>
      <c r="F314" s="91" t="s">
        <v>391</v>
      </c>
    </row>
    <row r="315" spans="1:6" x14ac:dyDescent="0.3">
      <c r="A315" s="107" t="s">
        <v>231</v>
      </c>
      <c r="B315" s="108">
        <v>6</v>
      </c>
      <c r="C315" s="109" t="s">
        <v>345</v>
      </c>
      <c r="D315" s="109" t="s">
        <v>204</v>
      </c>
      <c r="E315" s="110" t="s">
        <v>231</v>
      </c>
      <c r="F315" s="91" t="s">
        <v>391</v>
      </c>
    </row>
    <row r="316" spans="1:6" x14ac:dyDescent="0.3">
      <c r="A316" s="107" t="s">
        <v>231</v>
      </c>
      <c r="B316" s="108">
        <v>7</v>
      </c>
      <c r="C316" s="109" t="s">
        <v>346</v>
      </c>
      <c r="D316" s="109" t="s">
        <v>205</v>
      </c>
      <c r="E316" s="110" t="s">
        <v>231</v>
      </c>
      <c r="F316" s="91" t="s">
        <v>391</v>
      </c>
    </row>
    <row r="317" spans="1:6" x14ac:dyDescent="0.3">
      <c r="A317" s="107" t="s">
        <v>102</v>
      </c>
      <c r="B317" s="108">
        <v>4</v>
      </c>
      <c r="C317" s="109" t="s">
        <v>347</v>
      </c>
      <c r="D317" s="109" t="s">
        <v>203</v>
      </c>
      <c r="E317" s="110" t="s">
        <v>277</v>
      </c>
      <c r="F317" s="91" t="s">
        <v>392</v>
      </c>
    </row>
    <row r="318" spans="1:6" x14ac:dyDescent="0.3">
      <c r="A318" s="107" t="s">
        <v>102</v>
      </c>
      <c r="B318" s="108">
        <v>5</v>
      </c>
      <c r="C318" s="109" t="s">
        <v>348</v>
      </c>
      <c r="D318" s="109" t="s">
        <v>8</v>
      </c>
      <c r="E318" s="110" t="s">
        <v>277</v>
      </c>
      <c r="F318" s="91" t="s">
        <v>392</v>
      </c>
    </row>
    <row r="319" spans="1:6" x14ac:dyDescent="0.3">
      <c r="A319" s="107" t="s">
        <v>102</v>
      </c>
      <c r="B319" s="108">
        <v>6</v>
      </c>
      <c r="C319" s="109" t="s">
        <v>349</v>
      </c>
      <c r="D319" s="109" t="s">
        <v>204</v>
      </c>
      <c r="E319" s="110" t="s">
        <v>277</v>
      </c>
      <c r="F319" s="91" t="s">
        <v>392</v>
      </c>
    </row>
    <row r="320" spans="1:6" x14ac:dyDescent="0.3">
      <c r="A320" s="107" t="s">
        <v>102</v>
      </c>
      <c r="B320" s="108">
        <v>7</v>
      </c>
      <c r="C320" s="109" t="s">
        <v>350</v>
      </c>
      <c r="D320" s="109" t="s">
        <v>205</v>
      </c>
      <c r="E320" s="110" t="s">
        <v>277</v>
      </c>
      <c r="F320" s="91" t="s">
        <v>392</v>
      </c>
    </row>
    <row r="321" spans="1:6" x14ac:dyDescent="0.3">
      <c r="A321" s="107" t="s">
        <v>103</v>
      </c>
      <c r="B321" s="108">
        <v>4</v>
      </c>
      <c r="C321" s="109" t="s">
        <v>351</v>
      </c>
      <c r="D321" s="109" t="s">
        <v>203</v>
      </c>
      <c r="E321" s="110" t="s">
        <v>278</v>
      </c>
      <c r="F321" s="91" t="s">
        <v>393</v>
      </c>
    </row>
    <row r="322" spans="1:6" x14ac:dyDescent="0.3">
      <c r="A322" s="107" t="s">
        <v>103</v>
      </c>
      <c r="B322" s="108">
        <v>5</v>
      </c>
      <c r="C322" s="109" t="s">
        <v>352</v>
      </c>
      <c r="D322" s="109" t="s">
        <v>8</v>
      </c>
      <c r="E322" s="110" t="s">
        <v>278</v>
      </c>
      <c r="F322" s="91" t="s">
        <v>393</v>
      </c>
    </row>
    <row r="323" spans="1:6" x14ac:dyDescent="0.3">
      <c r="A323" s="107" t="s">
        <v>103</v>
      </c>
      <c r="B323" s="108">
        <v>6</v>
      </c>
      <c r="C323" s="109" t="s">
        <v>353</v>
      </c>
      <c r="D323" s="109" t="s">
        <v>204</v>
      </c>
      <c r="E323" s="110" t="s">
        <v>278</v>
      </c>
      <c r="F323" s="91" t="s">
        <v>393</v>
      </c>
    </row>
    <row r="324" spans="1:6" x14ac:dyDescent="0.3">
      <c r="A324" s="107" t="s">
        <v>103</v>
      </c>
      <c r="B324" s="108">
        <v>7</v>
      </c>
      <c r="C324" s="109" t="s">
        <v>354</v>
      </c>
      <c r="D324" s="109" t="s">
        <v>205</v>
      </c>
      <c r="E324" s="110" t="s">
        <v>278</v>
      </c>
      <c r="F324" s="91" t="s">
        <v>393</v>
      </c>
    </row>
    <row r="325" spans="1:6" x14ac:dyDescent="0.3">
      <c r="A325" s="107" t="s">
        <v>222</v>
      </c>
      <c r="B325" s="111">
        <v>1</v>
      </c>
      <c r="C325" s="109" t="s">
        <v>355</v>
      </c>
      <c r="D325" s="109" t="s">
        <v>201</v>
      </c>
      <c r="E325" s="110" t="s">
        <v>279</v>
      </c>
      <c r="F325" s="91" t="s">
        <v>394</v>
      </c>
    </row>
    <row r="326" spans="1:6" x14ac:dyDescent="0.3">
      <c r="A326" s="107" t="s">
        <v>222</v>
      </c>
      <c r="B326" s="111">
        <v>2</v>
      </c>
      <c r="C326" s="109" t="s">
        <v>356</v>
      </c>
      <c r="D326" s="109" t="s">
        <v>202</v>
      </c>
      <c r="E326" s="110" t="s">
        <v>279</v>
      </c>
      <c r="F326" s="91" t="s">
        <v>394</v>
      </c>
    </row>
    <row r="327" spans="1:6" x14ac:dyDescent="0.3">
      <c r="A327" s="107" t="s">
        <v>223</v>
      </c>
      <c r="B327" s="111">
        <v>1</v>
      </c>
      <c r="C327" s="109" t="s">
        <v>357</v>
      </c>
      <c r="D327" s="109" t="s">
        <v>201</v>
      </c>
      <c r="E327" s="110" t="s">
        <v>280</v>
      </c>
      <c r="F327" s="91" t="s">
        <v>395</v>
      </c>
    </row>
    <row r="328" spans="1:6" x14ac:dyDescent="0.3">
      <c r="A328" s="107" t="s">
        <v>223</v>
      </c>
      <c r="B328" s="111">
        <v>2</v>
      </c>
      <c r="C328" s="109" t="s">
        <v>358</v>
      </c>
      <c r="D328" s="109" t="s">
        <v>202</v>
      </c>
      <c r="E328" s="110" t="s">
        <v>280</v>
      </c>
      <c r="F328" s="91" t="s">
        <v>395</v>
      </c>
    </row>
    <row r="329" spans="1:6" x14ac:dyDescent="0.3">
      <c r="A329" s="107" t="s">
        <v>224</v>
      </c>
      <c r="B329" s="111">
        <v>1</v>
      </c>
      <c r="C329" s="109" t="s">
        <v>359</v>
      </c>
      <c r="D329" s="109" t="s">
        <v>201</v>
      </c>
      <c r="E329" s="110" t="s">
        <v>281</v>
      </c>
      <c r="F329" s="91" t="s">
        <v>396</v>
      </c>
    </row>
    <row r="330" spans="1:6" x14ac:dyDescent="0.3">
      <c r="A330" s="107" t="s">
        <v>224</v>
      </c>
      <c r="B330" s="111">
        <v>2</v>
      </c>
      <c r="C330" s="109" t="s">
        <v>360</v>
      </c>
      <c r="D330" s="109" t="s">
        <v>202</v>
      </c>
      <c r="E330" s="110" t="s">
        <v>281</v>
      </c>
      <c r="F330" s="91" t="s">
        <v>396</v>
      </c>
    </row>
    <row r="331" spans="1:6" x14ac:dyDescent="0.3">
      <c r="A331" s="107" t="s">
        <v>219</v>
      </c>
      <c r="B331" s="111">
        <v>1</v>
      </c>
      <c r="C331" s="109" t="s">
        <v>361</v>
      </c>
      <c r="D331" s="109" t="s">
        <v>201</v>
      </c>
      <c r="E331" s="110" t="s">
        <v>282</v>
      </c>
      <c r="F331" s="91" t="s">
        <v>397</v>
      </c>
    </row>
    <row r="332" spans="1:6" x14ac:dyDescent="0.3">
      <c r="A332" s="107" t="s">
        <v>219</v>
      </c>
      <c r="B332" s="111">
        <v>2</v>
      </c>
      <c r="C332" s="109" t="s">
        <v>362</v>
      </c>
      <c r="D332" s="109" t="s">
        <v>202</v>
      </c>
      <c r="E332" s="110" t="s">
        <v>282</v>
      </c>
      <c r="F332" s="91" t="s">
        <v>397</v>
      </c>
    </row>
    <row r="333" spans="1:6" x14ac:dyDescent="0.3">
      <c r="A333" s="107" t="s">
        <v>220</v>
      </c>
      <c r="B333" s="111">
        <v>1</v>
      </c>
      <c r="C333" s="109" t="s">
        <v>363</v>
      </c>
      <c r="D333" s="109" t="s">
        <v>201</v>
      </c>
      <c r="E333" s="110" t="s">
        <v>283</v>
      </c>
      <c r="F333" s="91" t="s">
        <v>398</v>
      </c>
    </row>
    <row r="334" spans="1:6" x14ac:dyDescent="0.3">
      <c r="A334" s="107" t="s">
        <v>220</v>
      </c>
      <c r="B334" s="111">
        <v>2</v>
      </c>
      <c r="C334" s="109" t="s">
        <v>364</v>
      </c>
      <c r="D334" s="109" t="s">
        <v>202</v>
      </c>
      <c r="E334" s="110" t="s">
        <v>283</v>
      </c>
      <c r="F334" s="91" t="s">
        <v>398</v>
      </c>
    </row>
    <row r="335" spans="1:6" x14ac:dyDescent="0.3">
      <c r="A335" s="107" t="s">
        <v>221</v>
      </c>
      <c r="B335" s="111">
        <v>1</v>
      </c>
      <c r="C335" s="109" t="s">
        <v>365</v>
      </c>
      <c r="D335" s="109" t="s">
        <v>201</v>
      </c>
      <c r="E335" s="110" t="s">
        <v>284</v>
      </c>
      <c r="F335" s="91" t="s">
        <v>399</v>
      </c>
    </row>
    <row r="336" spans="1:6" x14ac:dyDescent="0.3">
      <c r="A336" s="107" t="s">
        <v>221</v>
      </c>
      <c r="B336" s="111">
        <v>2</v>
      </c>
      <c r="C336" s="109" t="s">
        <v>366</v>
      </c>
      <c r="D336" s="109" t="s">
        <v>202</v>
      </c>
      <c r="E336" s="110" t="s">
        <v>284</v>
      </c>
      <c r="F336" s="91" t="s">
        <v>399</v>
      </c>
    </row>
    <row r="337" spans="1:6" x14ac:dyDescent="0.3">
      <c r="A337" s="112" t="s">
        <v>104</v>
      </c>
      <c r="B337" s="108">
        <v>4</v>
      </c>
      <c r="C337" s="109" t="s">
        <v>367</v>
      </c>
      <c r="D337" s="109" t="s">
        <v>203</v>
      </c>
      <c r="E337" s="113" t="s">
        <v>285</v>
      </c>
      <c r="F337" s="91" t="s">
        <v>400</v>
      </c>
    </row>
    <row r="338" spans="1:6" x14ac:dyDescent="0.3">
      <c r="A338" s="112" t="s">
        <v>106</v>
      </c>
      <c r="B338" s="108">
        <v>4</v>
      </c>
      <c r="C338" s="109" t="s">
        <v>368</v>
      </c>
      <c r="D338" s="109" t="s">
        <v>203</v>
      </c>
      <c r="E338" s="113" t="s">
        <v>286</v>
      </c>
      <c r="F338" s="91" t="s">
        <v>401</v>
      </c>
    </row>
    <row r="339" spans="1:6" x14ac:dyDescent="0.3">
      <c r="A339" s="112" t="s">
        <v>229</v>
      </c>
      <c r="B339" s="108">
        <v>4</v>
      </c>
      <c r="C339" s="109" t="s">
        <v>369</v>
      </c>
      <c r="D339" s="109" t="s">
        <v>203</v>
      </c>
      <c r="E339" s="113" t="s">
        <v>287</v>
      </c>
      <c r="F339" s="91" t="s">
        <v>402</v>
      </c>
    </row>
    <row r="340" spans="1:6" x14ac:dyDescent="0.3">
      <c r="A340" s="112" t="s">
        <v>105</v>
      </c>
      <c r="B340" s="108">
        <v>4</v>
      </c>
      <c r="C340" s="109" t="s">
        <v>370</v>
      </c>
      <c r="D340" s="109" t="s">
        <v>203</v>
      </c>
      <c r="E340" s="113" t="s">
        <v>288</v>
      </c>
      <c r="F340" s="91" t="s">
        <v>403</v>
      </c>
    </row>
    <row r="341" spans="1:6" x14ac:dyDescent="0.3">
      <c r="A341" s="114" t="s">
        <v>425</v>
      </c>
      <c r="B341" s="108">
        <v>4</v>
      </c>
      <c r="C341" s="109" t="s">
        <v>430</v>
      </c>
      <c r="D341" s="109" t="s">
        <v>203</v>
      </c>
      <c r="E341" s="115" t="s">
        <v>425</v>
      </c>
      <c r="F341" s="116" t="s">
        <v>450</v>
      </c>
    </row>
    <row r="342" spans="1:6" x14ac:dyDescent="0.3">
      <c r="A342" s="114" t="s">
        <v>425</v>
      </c>
      <c r="B342" s="108">
        <v>5</v>
      </c>
      <c r="C342" s="109" t="s">
        <v>431</v>
      </c>
      <c r="D342" s="109" t="s">
        <v>8</v>
      </c>
      <c r="E342" s="115" t="s">
        <v>425</v>
      </c>
      <c r="F342" s="116" t="s">
        <v>450</v>
      </c>
    </row>
    <row r="343" spans="1:6" x14ac:dyDescent="0.3">
      <c r="A343" s="114" t="s">
        <v>425</v>
      </c>
      <c r="B343" s="108">
        <v>6</v>
      </c>
      <c r="C343" s="109" t="s">
        <v>432</v>
      </c>
      <c r="D343" s="109" t="s">
        <v>204</v>
      </c>
      <c r="E343" s="115" t="s">
        <v>425</v>
      </c>
      <c r="F343" s="116" t="s">
        <v>450</v>
      </c>
    </row>
    <row r="344" spans="1:6" x14ac:dyDescent="0.3">
      <c r="A344" s="114" t="s">
        <v>425</v>
      </c>
      <c r="B344" s="108">
        <v>7</v>
      </c>
      <c r="C344" s="109" t="s">
        <v>433</v>
      </c>
      <c r="D344" s="109" t="s">
        <v>205</v>
      </c>
      <c r="E344" s="115" t="s">
        <v>425</v>
      </c>
      <c r="F344" s="116" t="s">
        <v>450</v>
      </c>
    </row>
    <row r="345" spans="1:6" x14ac:dyDescent="0.3">
      <c r="A345" s="114" t="s">
        <v>426</v>
      </c>
      <c r="B345" s="108">
        <v>4</v>
      </c>
      <c r="C345" s="109" t="s">
        <v>434</v>
      </c>
      <c r="D345" s="109" t="s">
        <v>203</v>
      </c>
      <c r="E345" s="115" t="s">
        <v>426</v>
      </c>
      <c r="F345" s="116" t="s">
        <v>451</v>
      </c>
    </row>
    <row r="346" spans="1:6" x14ac:dyDescent="0.3">
      <c r="A346" s="114" t="s">
        <v>426</v>
      </c>
      <c r="B346" s="108">
        <v>5</v>
      </c>
      <c r="C346" s="109" t="s">
        <v>435</v>
      </c>
      <c r="D346" s="109" t="s">
        <v>8</v>
      </c>
      <c r="E346" s="115" t="s">
        <v>426</v>
      </c>
      <c r="F346" s="116" t="s">
        <v>451</v>
      </c>
    </row>
    <row r="347" spans="1:6" x14ac:dyDescent="0.3">
      <c r="A347" s="114" t="s">
        <v>426</v>
      </c>
      <c r="B347" s="108">
        <v>6</v>
      </c>
      <c r="C347" s="109" t="s">
        <v>436</v>
      </c>
      <c r="D347" s="109" t="s">
        <v>204</v>
      </c>
      <c r="E347" s="115" t="s">
        <v>426</v>
      </c>
      <c r="F347" s="116" t="s">
        <v>451</v>
      </c>
    </row>
    <row r="348" spans="1:6" x14ac:dyDescent="0.3">
      <c r="A348" s="114" t="s">
        <v>426</v>
      </c>
      <c r="B348" s="108">
        <v>7</v>
      </c>
      <c r="C348" s="109" t="s">
        <v>437</v>
      </c>
      <c r="D348" s="109" t="s">
        <v>205</v>
      </c>
      <c r="E348" s="115" t="s">
        <v>426</v>
      </c>
      <c r="F348" s="116" t="s">
        <v>451</v>
      </c>
    </row>
    <row r="349" spans="1:6" x14ac:dyDescent="0.3">
      <c r="A349" s="114" t="s">
        <v>427</v>
      </c>
      <c r="B349" s="108">
        <v>4</v>
      </c>
      <c r="C349" s="109" t="s">
        <v>438</v>
      </c>
      <c r="D349" s="109" t="s">
        <v>203</v>
      </c>
      <c r="E349" s="115" t="s">
        <v>427</v>
      </c>
      <c r="F349" s="116" t="s">
        <v>452</v>
      </c>
    </row>
    <row r="350" spans="1:6" x14ac:dyDescent="0.3">
      <c r="A350" s="114" t="s">
        <v>427</v>
      </c>
      <c r="B350" s="108">
        <v>5</v>
      </c>
      <c r="C350" s="109" t="s">
        <v>439</v>
      </c>
      <c r="D350" s="109" t="s">
        <v>8</v>
      </c>
      <c r="E350" s="115" t="s">
        <v>427</v>
      </c>
      <c r="F350" s="116" t="s">
        <v>452</v>
      </c>
    </row>
    <row r="351" spans="1:6" x14ac:dyDescent="0.3">
      <c r="A351" s="114" t="s">
        <v>427</v>
      </c>
      <c r="B351" s="108">
        <v>6</v>
      </c>
      <c r="C351" s="109" t="s">
        <v>440</v>
      </c>
      <c r="D351" s="109" t="s">
        <v>204</v>
      </c>
      <c r="E351" s="115" t="s">
        <v>427</v>
      </c>
      <c r="F351" s="116" t="s">
        <v>452</v>
      </c>
    </row>
    <row r="352" spans="1:6" x14ac:dyDescent="0.3">
      <c r="A352" s="114" t="s">
        <v>427</v>
      </c>
      <c r="B352" s="108">
        <v>7</v>
      </c>
      <c r="C352" s="109" t="s">
        <v>441</v>
      </c>
      <c r="D352" s="109" t="s">
        <v>205</v>
      </c>
      <c r="E352" s="115" t="s">
        <v>427</v>
      </c>
      <c r="F352" s="116" t="s">
        <v>452</v>
      </c>
    </row>
    <row r="353" spans="1:6" x14ac:dyDescent="0.3">
      <c r="A353" s="114" t="s">
        <v>428</v>
      </c>
      <c r="B353" s="108">
        <v>4</v>
      </c>
      <c r="C353" s="109" t="s">
        <v>442</v>
      </c>
      <c r="D353" s="109" t="s">
        <v>203</v>
      </c>
      <c r="E353" s="115" t="s">
        <v>428</v>
      </c>
      <c r="F353" s="116" t="s">
        <v>453</v>
      </c>
    </row>
    <row r="354" spans="1:6" x14ac:dyDescent="0.3">
      <c r="A354" s="114" t="s">
        <v>428</v>
      </c>
      <c r="B354" s="108">
        <v>5</v>
      </c>
      <c r="C354" s="109" t="s">
        <v>443</v>
      </c>
      <c r="D354" s="109" t="s">
        <v>8</v>
      </c>
      <c r="E354" s="115" t="s">
        <v>428</v>
      </c>
      <c r="F354" s="116" t="s">
        <v>453</v>
      </c>
    </row>
    <row r="355" spans="1:6" x14ac:dyDescent="0.3">
      <c r="A355" s="114" t="s">
        <v>428</v>
      </c>
      <c r="B355" s="108">
        <v>6</v>
      </c>
      <c r="C355" s="109" t="s">
        <v>444</v>
      </c>
      <c r="D355" s="109" t="s">
        <v>204</v>
      </c>
      <c r="E355" s="115" t="s">
        <v>428</v>
      </c>
      <c r="F355" s="116" t="s">
        <v>453</v>
      </c>
    </row>
    <row r="356" spans="1:6" x14ac:dyDescent="0.3">
      <c r="A356" s="114" t="s">
        <v>428</v>
      </c>
      <c r="B356" s="108">
        <v>7</v>
      </c>
      <c r="C356" s="109" t="s">
        <v>445</v>
      </c>
      <c r="D356" s="109" t="s">
        <v>205</v>
      </c>
      <c r="E356" s="115" t="s">
        <v>428</v>
      </c>
      <c r="F356" s="116" t="s">
        <v>453</v>
      </c>
    </row>
    <row r="357" spans="1:6" x14ac:dyDescent="0.3">
      <c r="A357" s="114" t="s">
        <v>429</v>
      </c>
      <c r="B357" s="108">
        <v>4</v>
      </c>
      <c r="C357" s="109" t="s">
        <v>446</v>
      </c>
      <c r="D357" s="109" t="s">
        <v>203</v>
      </c>
      <c r="E357" s="115" t="s">
        <v>429</v>
      </c>
      <c r="F357" s="116" t="s">
        <v>454</v>
      </c>
    </row>
    <row r="358" spans="1:6" x14ac:dyDescent="0.3">
      <c r="A358" s="114" t="s">
        <v>429</v>
      </c>
      <c r="B358" s="108">
        <v>5</v>
      </c>
      <c r="C358" s="109" t="s">
        <v>447</v>
      </c>
      <c r="D358" s="109" t="s">
        <v>8</v>
      </c>
      <c r="E358" s="115" t="s">
        <v>429</v>
      </c>
      <c r="F358" s="116" t="s">
        <v>454</v>
      </c>
    </row>
    <row r="359" spans="1:6" x14ac:dyDescent="0.3">
      <c r="A359" s="114" t="s">
        <v>429</v>
      </c>
      <c r="B359" s="108">
        <v>6</v>
      </c>
      <c r="C359" s="109" t="s">
        <v>448</v>
      </c>
      <c r="D359" s="109" t="s">
        <v>204</v>
      </c>
      <c r="E359" s="115" t="s">
        <v>429</v>
      </c>
      <c r="F359" s="116" t="s">
        <v>454</v>
      </c>
    </row>
    <row r="360" spans="1:6" x14ac:dyDescent="0.3">
      <c r="A360" s="114" t="s">
        <v>429</v>
      </c>
      <c r="B360" s="108">
        <v>7</v>
      </c>
      <c r="C360" s="109" t="s">
        <v>449</v>
      </c>
      <c r="D360" s="109" t="s">
        <v>205</v>
      </c>
      <c r="E360" s="115" t="s">
        <v>429</v>
      </c>
      <c r="F360" s="116" t="s">
        <v>454</v>
      </c>
    </row>
    <row r="361" spans="1:6" x14ac:dyDescent="0.3">
      <c r="A361" s="114"/>
      <c r="B361" s="108">
        <v>1</v>
      </c>
      <c r="C361" s="117" t="s">
        <v>456</v>
      </c>
      <c r="D361" s="117" t="s">
        <v>201</v>
      </c>
      <c r="E361" s="118" t="s">
        <v>455</v>
      </c>
      <c r="F361" s="119" t="s">
        <v>462</v>
      </c>
    </row>
    <row r="362" spans="1:6" x14ac:dyDescent="0.3">
      <c r="A362" s="114"/>
      <c r="B362" s="108">
        <v>2</v>
      </c>
      <c r="C362" s="117" t="s">
        <v>457</v>
      </c>
      <c r="D362" s="117" t="s">
        <v>202</v>
      </c>
      <c r="E362" s="118" t="s">
        <v>455</v>
      </c>
      <c r="F362" s="119" t="s">
        <v>462</v>
      </c>
    </row>
    <row r="363" spans="1:6" x14ac:dyDescent="0.3">
      <c r="A363" s="114"/>
      <c r="B363" s="108">
        <v>4</v>
      </c>
      <c r="C363" s="117" t="s">
        <v>458</v>
      </c>
      <c r="D363" s="117" t="s">
        <v>203</v>
      </c>
      <c r="E363" s="118" t="s">
        <v>455</v>
      </c>
      <c r="F363" s="119" t="s">
        <v>462</v>
      </c>
    </row>
    <row r="364" spans="1:6" x14ac:dyDescent="0.3">
      <c r="A364" s="114"/>
      <c r="B364" s="108">
        <v>5</v>
      </c>
      <c r="C364" s="117" t="s">
        <v>459</v>
      </c>
      <c r="D364" s="117" t="s">
        <v>8</v>
      </c>
      <c r="E364" s="118" t="s">
        <v>455</v>
      </c>
      <c r="F364" s="119" t="s">
        <v>462</v>
      </c>
    </row>
    <row r="365" spans="1:6" x14ac:dyDescent="0.3">
      <c r="A365" s="114"/>
      <c r="B365" s="108">
        <v>6</v>
      </c>
      <c r="C365" s="117" t="s">
        <v>460</v>
      </c>
      <c r="D365" s="117" t="s">
        <v>204</v>
      </c>
      <c r="E365" s="118" t="s">
        <v>455</v>
      </c>
      <c r="F365" s="119" t="s">
        <v>462</v>
      </c>
    </row>
    <row r="366" spans="1:6" ht="15" thickBot="1" x14ac:dyDescent="0.35">
      <c r="A366" s="92"/>
      <c r="B366" s="120">
        <v>7</v>
      </c>
      <c r="C366" s="121" t="s">
        <v>461</v>
      </c>
      <c r="D366" s="121" t="s">
        <v>205</v>
      </c>
      <c r="E366" s="122" t="s">
        <v>455</v>
      </c>
      <c r="F366" s="123" t="s">
        <v>462</v>
      </c>
    </row>
    <row r="368" spans="1:6" x14ac:dyDescent="0.3">
      <c r="B368" s="74"/>
    </row>
    <row r="369" spans="1:2" ht="15" thickBot="1" x14ac:dyDescent="0.35">
      <c r="A369" s="124" t="s">
        <v>529</v>
      </c>
      <c r="B369" s="125" t="s">
        <v>514</v>
      </c>
    </row>
    <row r="370" spans="1:2" x14ac:dyDescent="0.3">
      <c r="A370" s="126">
        <v>151</v>
      </c>
      <c r="B370" s="127">
        <v>0</v>
      </c>
    </row>
    <row r="371" spans="1:2" x14ac:dyDescent="0.3">
      <c r="A371" s="128">
        <v>152</v>
      </c>
      <c r="B371" s="129">
        <v>0</v>
      </c>
    </row>
    <row r="372" spans="1:2" x14ac:dyDescent="0.3">
      <c r="A372" s="128">
        <v>153</v>
      </c>
      <c r="B372" s="129">
        <v>0</v>
      </c>
    </row>
    <row r="373" spans="1:2" x14ac:dyDescent="0.3">
      <c r="A373" s="128">
        <v>154</v>
      </c>
      <c r="B373" s="129">
        <v>0</v>
      </c>
    </row>
    <row r="374" spans="1:2" x14ac:dyDescent="0.3">
      <c r="A374" s="128">
        <v>155</v>
      </c>
      <c r="B374" s="129">
        <v>0</v>
      </c>
    </row>
    <row r="375" spans="1:2" x14ac:dyDescent="0.3">
      <c r="A375" s="128">
        <v>156</v>
      </c>
      <c r="B375" s="129">
        <v>0</v>
      </c>
    </row>
    <row r="376" spans="1:2" x14ac:dyDescent="0.3">
      <c r="A376" s="128">
        <v>157</v>
      </c>
      <c r="B376" s="129">
        <v>0</v>
      </c>
    </row>
    <row r="377" spans="1:2" x14ac:dyDescent="0.3">
      <c r="A377" s="128">
        <v>158</v>
      </c>
      <c r="B377" s="129">
        <v>0</v>
      </c>
    </row>
    <row r="378" spans="1:2" x14ac:dyDescent="0.3">
      <c r="A378" s="128">
        <v>180</v>
      </c>
      <c r="B378" s="129">
        <v>0</v>
      </c>
    </row>
    <row r="379" spans="1:2" x14ac:dyDescent="0.3">
      <c r="A379" s="128">
        <v>181</v>
      </c>
      <c r="B379" s="129">
        <v>60</v>
      </c>
    </row>
    <row r="380" spans="1:2" x14ac:dyDescent="0.3">
      <c r="A380" s="128">
        <v>182</v>
      </c>
      <c r="B380" s="129">
        <v>0</v>
      </c>
    </row>
    <row r="381" spans="1:2" x14ac:dyDescent="0.3">
      <c r="A381" s="128">
        <v>183</v>
      </c>
      <c r="B381" s="129">
        <v>0</v>
      </c>
    </row>
    <row r="382" spans="1:2" x14ac:dyDescent="0.3">
      <c r="A382" s="128">
        <v>184</v>
      </c>
      <c r="B382" s="129">
        <v>200</v>
      </c>
    </row>
    <row r="383" spans="1:2" x14ac:dyDescent="0.3">
      <c r="A383" s="128">
        <v>185</v>
      </c>
      <c r="B383" s="129">
        <v>80</v>
      </c>
    </row>
    <row r="384" spans="1:2" x14ac:dyDescent="0.3">
      <c r="A384" s="128">
        <v>186</v>
      </c>
      <c r="B384" s="129">
        <v>60</v>
      </c>
    </row>
    <row r="385" spans="1:2" x14ac:dyDescent="0.3">
      <c r="A385" s="128">
        <v>187</v>
      </c>
      <c r="B385" s="129">
        <v>140</v>
      </c>
    </row>
    <row r="386" spans="1:2" x14ac:dyDescent="0.3">
      <c r="A386" s="128">
        <v>190</v>
      </c>
      <c r="B386" s="129">
        <v>240</v>
      </c>
    </row>
    <row r="387" spans="1:2" x14ac:dyDescent="0.3">
      <c r="A387" s="128">
        <v>191</v>
      </c>
      <c r="B387" s="129">
        <v>220</v>
      </c>
    </row>
    <row r="388" spans="1:2" x14ac:dyDescent="0.3">
      <c r="A388" s="128">
        <v>192</v>
      </c>
      <c r="B388" s="129">
        <v>140</v>
      </c>
    </row>
    <row r="389" spans="1:2" x14ac:dyDescent="0.3">
      <c r="A389" s="128">
        <v>193</v>
      </c>
      <c r="B389" s="129">
        <v>80</v>
      </c>
    </row>
    <row r="390" spans="1:2" x14ac:dyDescent="0.3">
      <c r="A390" s="128">
        <v>194</v>
      </c>
      <c r="B390" s="129">
        <v>20</v>
      </c>
    </row>
    <row r="391" spans="1:2" x14ac:dyDescent="0.3">
      <c r="A391" s="128">
        <v>195</v>
      </c>
      <c r="B391" s="129">
        <v>0</v>
      </c>
    </row>
    <row r="392" spans="1:2" x14ac:dyDescent="0.3">
      <c r="A392" s="128">
        <v>240</v>
      </c>
      <c r="B392" s="129">
        <v>0</v>
      </c>
    </row>
    <row r="393" spans="1:2" x14ac:dyDescent="0.3">
      <c r="A393" s="128">
        <v>241</v>
      </c>
      <c r="B393" s="129">
        <v>60</v>
      </c>
    </row>
    <row r="394" spans="1:2" x14ac:dyDescent="0.3">
      <c r="A394" s="128">
        <v>242</v>
      </c>
      <c r="B394" s="129">
        <v>160</v>
      </c>
    </row>
    <row r="395" spans="1:2" x14ac:dyDescent="0.3">
      <c r="A395" s="128">
        <v>243</v>
      </c>
      <c r="B395" s="129">
        <v>160</v>
      </c>
    </row>
    <row r="396" spans="1:2" x14ac:dyDescent="0.3">
      <c r="A396" s="128">
        <v>244</v>
      </c>
      <c r="B396" s="129">
        <v>240</v>
      </c>
    </row>
    <row r="397" spans="1:2" x14ac:dyDescent="0.3">
      <c r="A397" s="128">
        <v>245</v>
      </c>
      <c r="B397" s="129">
        <v>240</v>
      </c>
    </row>
    <row r="398" spans="1:2" x14ac:dyDescent="0.3">
      <c r="A398" s="128">
        <v>246</v>
      </c>
      <c r="B398" s="129">
        <v>260</v>
      </c>
    </row>
    <row r="399" spans="1:2" x14ac:dyDescent="0.3">
      <c r="A399" s="128">
        <v>247</v>
      </c>
      <c r="B399" s="129">
        <v>280</v>
      </c>
    </row>
    <row r="400" spans="1:2" x14ac:dyDescent="0.3">
      <c r="A400" s="128">
        <v>250</v>
      </c>
      <c r="B400" s="129">
        <v>280</v>
      </c>
    </row>
    <row r="401" spans="1:2" x14ac:dyDescent="0.3">
      <c r="A401" s="128">
        <v>251</v>
      </c>
      <c r="B401" s="129">
        <v>280</v>
      </c>
    </row>
    <row r="402" spans="1:2" x14ac:dyDescent="0.3">
      <c r="A402" s="128">
        <v>252</v>
      </c>
      <c r="B402" s="129">
        <v>280</v>
      </c>
    </row>
    <row r="403" spans="1:2" x14ac:dyDescent="0.3">
      <c r="A403" s="128">
        <v>253</v>
      </c>
      <c r="B403" s="129">
        <v>280</v>
      </c>
    </row>
    <row r="404" spans="1:2" x14ac:dyDescent="0.3">
      <c r="A404" s="128">
        <v>254</v>
      </c>
      <c r="B404" s="129">
        <v>280</v>
      </c>
    </row>
    <row r="405" spans="1:2" x14ac:dyDescent="0.3">
      <c r="A405" s="128">
        <v>255</v>
      </c>
      <c r="B405" s="129">
        <v>120</v>
      </c>
    </row>
    <row r="406" spans="1:2" x14ac:dyDescent="0.3">
      <c r="A406" s="128">
        <v>256</v>
      </c>
      <c r="B406" s="129">
        <v>200</v>
      </c>
    </row>
    <row r="407" spans="1:2" x14ac:dyDescent="0.3">
      <c r="A407" s="128">
        <v>257</v>
      </c>
      <c r="B407" s="129">
        <v>280</v>
      </c>
    </row>
    <row r="408" spans="1:2" x14ac:dyDescent="0.3">
      <c r="A408" s="128">
        <v>258</v>
      </c>
      <c r="B408" s="129">
        <v>280</v>
      </c>
    </row>
    <row r="409" spans="1:2" x14ac:dyDescent="0.3">
      <c r="A409" s="128">
        <v>259</v>
      </c>
      <c r="B409" s="129">
        <v>280</v>
      </c>
    </row>
    <row r="410" spans="1:2" x14ac:dyDescent="0.3">
      <c r="A410" s="128">
        <v>260</v>
      </c>
      <c r="B410" s="129">
        <v>280</v>
      </c>
    </row>
    <row r="411" spans="1:2" x14ac:dyDescent="0.3">
      <c r="A411" s="128">
        <v>261</v>
      </c>
      <c r="B411" s="129">
        <v>280</v>
      </c>
    </row>
    <row r="412" spans="1:2" x14ac:dyDescent="0.3">
      <c r="A412" s="128">
        <v>262</v>
      </c>
      <c r="B412" s="129">
        <v>280</v>
      </c>
    </row>
    <row r="413" spans="1:2" x14ac:dyDescent="0.3">
      <c r="A413" s="128">
        <v>263</v>
      </c>
      <c r="B413" s="129">
        <v>280</v>
      </c>
    </row>
    <row r="414" spans="1:2" x14ac:dyDescent="0.3">
      <c r="A414" s="128">
        <v>264</v>
      </c>
      <c r="B414" s="129">
        <v>280</v>
      </c>
    </row>
    <row r="415" spans="1:2" x14ac:dyDescent="0.3">
      <c r="A415" s="128">
        <v>265</v>
      </c>
      <c r="B415" s="129">
        <v>280</v>
      </c>
    </row>
    <row r="416" spans="1:2" x14ac:dyDescent="0.3">
      <c r="A416" s="128">
        <v>266</v>
      </c>
      <c r="B416" s="129">
        <v>180</v>
      </c>
    </row>
    <row r="417" spans="1:2" x14ac:dyDescent="0.3">
      <c r="A417" s="128">
        <v>267</v>
      </c>
      <c r="B417" s="129">
        <v>280</v>
      </c>
    </row>
    <row r="418" spans="1:2" x14ac:dyDescent="0.3">
      <c r="A418" s="128">
        <v>268</v>
      </c>
      <c r="B418" s="129">
        <v>280</v>
      </c>
    </row>
    <row r="419" spans="1:2" x14ac:dyDescent="0.3">
      <c r="A419" s="128">
        <v>269</v>
      </c>
      <c r="B419" s="129">
        <v>280</v>
      </c>
    </row>
    <row r="420" spans="1:2" x14ac:dyDescent="0.3">
      <c r="A420" s="128">
        <v>270</v>
      </c>
      <c r="B420" s="129">
        <v>280</v>
      </c>
    </row>
    <row r="421" spans="1:2" x14ac:dyDescent="0.3">
      <c r="A421" s="128">
        <v>271</v>
      </c>
      <c r="B421" s="129">
        <v>280</v>
      </c>
    </row>
    <row r="422" spans="1:2" x14ac:dyDescent="0.3">
      <c r="A422" s="128">
        <v>272</v>
      </c>
      <c r="B422" s="129">
        <v>280</v>
      </c>
    </row>
    <row r="423" spans="1:2" x14ac:dyDescent="0.3">
      <c r="A423" s="128">
        <v>273</v>
      </c>
      <c r="B423" s="129">
        <v>280</v>
      </c>
    </row>
    <row r="424" spans="1:2" x14ac:dyDescent="0.3">
      <c r="A424" s="128">
        <v>274</v>
      </c>
      <c r="B424" s="129">
        <v>280</v>
      </c>
    </row>
    <row r="425" spans="1:2" x14ac:dyDescent="0.3">
      <c r="A425" s="128">
        <v>275</v>
      </c>
      <c r="B425" s="129">
        <v>280</v>
      </c>
    </row>
    <row r="426" spans="1:2" x14ac:dyDescent="0.3">
      <c r="A426" s="128">
        <v>276</v>
      </c>
      <c r="B426" s="129">
        <v>280</v>
      </c>
    </row>
    <row r="427" spans="1:2" x14ac:dyDescent="0.3">
      <c r="A427" s="128">
        <v>277</v>
      </c>
      <c r="B427" s="129">
        <v>280</v>
      </c>
    </row>
    <row r="428" spans="1:2" x14ac:dyDescent="0.3">
      <c r="A428" s="128">
        <v>278</v>
      </c>
      <c r="B428" s="129">
        <v>280</v>
      </c>
    </row>
    <row r="429" spans="1:2" x14ac:dyDescent="0.3">
      <c r="A429" s="128">
        <v>279</v>
      </c>
      <c r="B429" s="129">
        <v>280</v>
      </c>
    </row>
    <row r="430" spans="1:2" x14ac:dyDescent="0.3">
      <c r="A430" s="128">
        <v>280</v>
      </c>
      <c r="B430" s="129">
        <v>280</v>
      </c>
    </row>
    <row r="431" spans="1:2" x14ac:dyDescent="0.3">
      <c r="A431" s="128">
        <v>281</v>
      </c>
      <c r="B431" s="129">
        <v>280</v>
      </c>
    </row>
    <row r="432" spans="1:2" x14ac:dyDescent="0.3">
      <c r="A432" s="128">
        <v>282</v>
      </c>
      <c r="B432" s="129">
        <v>280</v>
      </c>
    </row>
    <row r="433" spans="1:2" x14ac:dyDescent="0.3">
      <c r="A433" s="128">
        <v>283</v>
      </c>
      <c r="B433" s="129">
        <v>280</v>
      </c>
    </row>
    <row r="434" spans="1:2" x14ac:dyDescent="0.3">
      <c r="A434" s="128">
        <v>284</v>
      </c>
      <c r="B434" s="129">
        <v>280</v>
      </c>
    </row>
    <row r="435" spans="1:2" x14ac:dyDescent="0.3">
      <c r="A435" s="128">
        <v>285</v>
      </c>
      <c r="B435" s="129">
        <v>280</v>
      </c>
    </row>
    <row r="436" spans="1:2" x14ac:dyDescent="0.3">
      <c r="A436" s="128">
        <v>286</v>
      </c>
      <c r="B436" s="129">
        <v>280</v>
      </c>
    </row>
    <row r="437" spans="1:2" x14ac:dyDescent="0.3">
      <c r="A437" s="128">
        <v>287</v>
      </c>
      <c r="B437" s="129">
        <v>280</v>
      </c>
    </row>
    <row r="438" spans="1:2" x14ac:dyDescent="0.3">
      <c r="A438" s="128">
        <v>288</v>
      </c>
      <c r="B438" s="129">
        <v>280</v>
      </c>
    </row>
    <row r="439" spans="1:2" x14ac:dyDescent="0.3">
      <c r="A439" s="128">
        <v>289</v>
      </c>
      <c r="B439" s="129">
        <v>280</v>
      </c>
    </row>
    <row r="440" spans="1:2" x14ac:dyDescent="0.3">
      <c r="A440" s="128">
        <v>290</v>
      </c>
      <c r="B440" s="129">
        <v>280</v>
      </c>
    </row>
    <row r="441" spans="1:2" x14ac:dyDescent="0.3">
      <c r="A441" s="128">
        <v>291</v>
      </c>
      <c r="B441" s="129">
        <v>280</v>
      </c>
    </row>
    <row r="442" spans="1:2" x14ac:dyDescent="0.3">
      <c r="A442" s="128">
        <v>292</v>
      </c>
      <c r="B442" s="129">
        <v>280</v>
      </c>
    </row>
    <row r="443" spans="1:2" x14ac:dyDescent="0.3">
      <c r="A443" s="128">
        <v>350</v>
      </c>
      <c r="B443" s="129">
        <v>20</v>
      </c>
    </row>
    <row r="444" spans="1:2" x14ac:dyDescent="0.3">
      <c r="A444" s="128">
        <v>351</v>
      </c>
      <c r="B444" s="129">
        <v>0</v>
      </c>
    </row>
    <row r="445" spans="1:2" x14ac:dyDescent="0.3">
      <c r="A445" s="128">
        <v>352</v>
      </c>
      <c r="B445" s="129">
        <v>20</v>
      </c>
    </row>
    <row r="446" spans="1:2" x14ac:dyDescent="0.3">
      <c r="A446" s="128">
        <v>353</v>
      </c>
      <c r="B446" s="129">
        <v>40</v>
      </c>
    </row>
    <row r="447" spans="1:2" x14ac:dyDescent="0.3">
      <c r="A447" s="128">
        <v>354</v>
      </c>
      <c r="B447" s="129">
        <v>120</v>
      </c>
    </row>
    <row r="448" spans="1:2" x14ac:dyDescent="0.3">
      <c r="A448" s="128">
        <v>355</v>
      </c>
      <c r="B448" s="129">
        <v>200</v>
      </c>
    </row>
    <row r="449" spans="1:2" x14ac:dyDescent="0.3">
      <c r="A449" s="128">
        <v>356</v>
      </c>
      <c r="B449" s="129">
        <v>260</v>
      </c>
    </row>
    <row r="450" spans="1:2" x14ac:dyDescent="0.3">
      <c r="A450" s="128">
        <v>357</v>
      </c>
      <c r="B450" s="129">
        <v>260</v>
      </c>
    </row>
    <row r="451" spans="1:2" x14ac:dyDescent="0.3">
      <c r="A451" s="128">
        <v>450</v>
      </c>
      <c r="B451" s="129">
        <v>80</v>
      </c>
    </row>
    <row r="452" spans="1:2" x14ac:dyDescent="0.3">
      <c r="A452" s="128">
        <v>451</v>
      </c>
      <c r="B452" s="129">
        <v>0</v>
      </c>
    </row>
    <row r="453" spans="1:2" x14ac:dyDescent="0.3">
      <c r="A453" s="128">
        <v>452</v>
      </c>
      <c r="B453" s="129">
        <v>0</v>
      </c>
    </row>
    <row r="454" spans="1:2" x14ac:dyDescent="0.3">
      <c r="A454" s="128">
        <v>453</v>
      </c>
      <c r="B454" s="129">
        <v>0</v>
      </c>
    </row>
    <row r="455" spans="1:2" x14ac:dyDescent="0.3">
      <c r="A455" s="128">
        <v>454</v>
      </c>
      <c r="B455" s="129">
        <v>0</v>
      </c>
    </row>
    <row r="456" spans="1:2" x14ac:dyDescent="0.3">
      <c r="A456" s="128">
        <v>455</v>
      </c>
      <c r="B456" s="129">
        <v>0</v>
      </c>
    </row>
    <row r="457" spans="1:2" x14ac:dyDescent="0.3">
      <c r="A457" s="128">
        <v>456</v>
      </c>
      <c r="B457" s="129">
        <v>0</v>
      </c>
    </row>
    <row r="458" spans="1:2" x14ac:dyDescent="0.3">
      <c r="A458" s="128">
        <v>457</v>
      </c>
      <c r="B458" s="129">
        <v>0</v>
      </c>
    </row>
    <row r="459" spans="1:2" x14ac:dyDescent="0.3">
      <c r="A459" s="128">
        <v>458</v>
      </c>
      <c r="B459" s="129">
        <v>60</v>
      </c>
    </row>
    <row r="460" spans="1:2" x14ac:dyDescent="0.3">
      <c r="A460" s="128">
        <v>459</v>
      </c>
      <c r="B460" s="129">
        <v>60</v>
      </c>
    </row>
    <row r="461" spans="1:2" x14ac:dyDescent="0.3">
      <c r="A461" s="128">
        <v>460</v>
      </c>
      <c r="B461" s="129">
        <v>200</v>
      </c>
    </row>
    <row r="462" spans="1:2" x14ac:dyDescent="0.3">
      <c r="A462" s="128">
        <v>461</v>
      </c>
      <c r="B462" s="129">
        <v>260</v>
      </c>
    </row>
    <row r="463" spans="1:2" x14ac:dyDescent="0.3">
      <c r="A463" s="128">
        <v>551</v>
      </c>
      <c r="B463" s="129">
        <v>0</v>
      </c>
    </row>
    <row r="464" spans="1:2" x14ac:dyDescent="0.3">
      <c r="A464" s="128">
        <v>650</v>
      </c>
      <c r="B464" s="129">
        <v>0</v>
      </c>
    </row>
    <row r="465" spans="1:2" x14ac:dyDescent="0.3">
      <c r="A465" s="128">
        <v>651</v>
      </c>
      <c r="B465" s="129">
        <v>60</v>
      </c>
    </row>
    <row r="466" spans="1:2" x14ac:dyDescent="0.3">
      <c r="A466" s="128">
        <v>652</v>
      </c>
      <c r="B466" s="129">
        <v>200</v>
      </c>
    </row>
    <row r="467" spans="1:2" x14ac:dyDescent="0.3">
      <c r="A467" s="128">
        <v>653</v>
      </c>
      <c r="B467" s="129">
        <v>140</v>
      </c>
    </row>
    <row r="468" spans="1:2" x14ac:dyDescent="0.3">
      <c r="A468" s="128">
        <v>654</v>
      </c>
      <c r="B468" s="129">
        <v>200</v>
      </c>
    </row>
    <row r="469" spans="1:2" x14ac:dyDescent="0.3">
      <c r="A469" s="128">
        <v>655</v>
      </c>
      <c r="B469" s="129">
        <v>40</v>
      </c>
    </row>
    <row r="470" spans="1:2" x14ac:dyDescent="0.3">
      <c r="A470" s="128">
        <v>656</v>
      </c>
      <c r="B470" s="129">
        <v>140</v>
      </c>
    </row>
    <row r="471" spans="1:2" x14ac:dyDescent="0.3">
      <c r="A471" s="128">
        <v>657</v>
      </c>
      <c r="B471" s="129">
        <v>140</v>
      </c>
    </row>
    <row r="472" spans="1:2" x14ac:dyDescent="0.3">
      <c r="A472" s="128">
        <v>658</v>
      </c>
      <c r="B472" s="129">
        <v>220</v>
      </c>
    </row>
    <row r="473" spans="1:2" x14ac:dyDescent="0.3">
      <c r="A473" s="128">
        <v>659</v>
      </c>
      <c r="B473" s="129">
        <v>280</v>
      </c>
    </row>
    <row r="474" spans="1:2" x14ac:dyDescent="0.3">
      <c r="A474" s="128">
        <v>660</v>
      </c>
      <c r="B474" s="129">
        <v>160</v>
      </c>
    </row>
    <row r="475" spans="1:2" x14ac:dyDescent="0.3">
      <c r="A475" s="128">
        <v>661</v>
      </c>
      <c r="B475" s="129">
        <v>40</v>
      </c>
    </row>
    <row r="476" spans="1:2" x14ac:dyDescent="0.3">
      <c r="A476" s="128">
        <v>662</v>
      </c>
      <c r="B476" s="129">
        <v>0</v>
      </c>
    </row>
    <row r="477" spans="1:2" x14ac:dyDescent="0.3">
      <c r="A477" s="128">
        <v>750</v>
      </c>
      <c r="B477" s="129">
        <v>0</v>
      </c>
    </row>
    <row r="478" spans="1:2" x14ac:dyDescent="0.3">
      <c r="A478" s="128">
        <v>751</v>
      </c>
      <c r="B478" s="129">
        <v>40</v>
      </c>
    </row>
    <row r="479" spans="1:2" x14ac:dyDescent="0.3">
      <c r="A479" s="128">
        <v>752</v>
      </c>
      <c r="B479" s="129">
        <v>220</v>
      </c>
    </row>
    <row r="480" spans="1:2" x14ac:dyDescent="0.3">
      <c r="A480" s="128">
        <v>753</v>
      </c>
      <c r="B480" s="129">
        <v>280</v>
      </c>
    </row>
    <row r="481" spans="1:2" x14ac:dyDescent="0.3">
      <c r="A481" s="128">
        <v>754</v>
      </c>
      <c r="B481" s="129">
        <v>100</v>
      </c>
    </row>
    <row r="482" spans="1:2" x14ac:dyDescent="0.3">
      <c r="A482" s="128">
        <v>755</v>
      </c>
      <c r="B482" s="129">
        <v>60</v>
      </c>
    </row>
    <row r="483" spans="1:2" x14ac:dyDescent="0.3">
      <c r="A483" s="128">
        <v>756</v>
      </c>
      <c r="B483" s="129">
        <v>280</v>
      </c>
    </row>
    <row r="484" spans="1:2" x14ac:dyDescent="0.3">
      <c r="A484" s="128">
        <v>757</v>
      </c>
      <c r="B484" s="129">
        <v>280</v>
      </c>
    </row>
    <row r="485" spans="1:2" x14ac:dyDescent="0.3">
      <c r="A485" s="128">
        <v>758</v>
      </c>
      <c r="B485" s="129">
        <v>280</v>
      </c>
    </row>
    <row r="486" spans="1:2" x14ac:dyDescent="0.3">
      <c r="A486" s="128">
        <v>850</v>
      </c>
      <c r="B486" s="129">
        <v>0</v>
      </c>
    </row>
    <row r="487" spans="1:2" x14ac:dyDescent="0.3">
      <c r="A487" s="128">
        <v>851</v>
      </c>
      <c r="B487" s="129">
        <v>0</v>
      </c>
    </row>
    <row r="488" spans="1:2" x14ac:dyDescent="0.3">
      <c r="A488" s="128">
        <v>852</v>
      </c>
      <c r="B488" s="129">
        <v>0</v>
      </c>
    </row>
    <row r="489" spans="1:2" x14ac:dyDescent="0.3">
      <c r="A489" s="128">
        <v>853</v>
      </c>
      <c r="B489" s="129">
        <v>0</v>
      </c>
    </row>
    <row r="490" spans="1:2" x14ac:dyDescent="0.3">
      <c r="A490" s="128">
        <v>854</v>
      </c>
      <c r="B490" s="129">
        <v>0</v>
      </c>
    </row>
    <row r="491" spans="1:2" x14ac:dyDescent="0.3">
      <c r="A491" s="128">
        <v>855</v>
      </c>
      <c r="B491" s="129">
        <v>0</v>
      </c>
    </row>
    <row r="492" spans="1:2" x14ac:dyDescent="0.3">
      <c r="A492" s="128">
        <v>856</v>
      </c>
      <c r="B492" s="129">
        <v>100</v>
      </c>
    </row>
    <row r="493" spans="1:2" x14ac:dyDescent="0.3">
      <c r="A493" s="128">
        <v>857</v>
      </c>
      <c r="B493" s="129">
        <v>100</v>
      </c>
    </row>
    <row r="494" spans="1:2" x14ac:dyDescent="0.3">
      <c r="A494" s="128">
        <v>858</v>
      </c>
      <c r="B494" s="129">
        <v>100</v>
      </c>
    </row>
    <row r="495" spans="1:2" x14ac:dyDescent="0.3">
      <c r="A495" s="128">
        <v>859</v>
      </c>
      <c r="B495" s="129">
        <v>180</v>
      </c>
    </row>
    <row r="496" spans="1:2" x14ac:dyDescent="0.3">
      <c r="A496" s="128">
        <v>860</v>
      </c>
      <c r="B496" s="129">
        <v>280</v>
      </c>
    </row>
    <row r="497" spans="1:2" x14ac:dyDescent="0.3">
      <c r="A497" s="128">
        <v>861</v>
      </c>
      <c r="B497" s="129">
        <v>220</v>
      </c>
    </row>
    <row r="498" spans="1:2" x14ac:dyDescent="0.3">
      <c r="A498" s="128">
        <v>862</v>
      </c>
      <c r="B498" s="129">
        <v>280</v>
      </c>
    </row>
    <row r="499" spans="1:2" x14ac:dyDescent="0.3">
      <c r="A499" s="128">
        <v>863</v>
      </c>
      <c r="B499" s="129">
        <v>280</v>
      </c>
    </row>
    <row r="500" spans="1:2" x14ac:dyDescent="0.3">
      <c r="A500" s="128">
        <v>864</v>
      </c>
      <c r="B500" s="129">
        <v>280</v>
      </c>
    </row>
    <row r="501" spans="1:2" x14ac:dyDescent="0.3">
      <c r="A501" s="128">
        <v>865</v>
      </c>
      <c r="B501" s="129">
        <v>280</v>
      </c>
    </row>
    <row r="502" spans="1:2" x14ac:dyDescent="0.3">
      <c r="A502" s="128">
        <v>866</v>
      </c>
      <c r="B502" s="129">
        <v>280</v>
      </c>
    </row>
    <row r="503" spans="1:2" x14ac:dyDescent="0.3">
      <c r="A503" s="128">
        <v>867</v>
      </c>
      <c r="B503" s="129">
        <v>280</v>
      </c>
    </row>
    <row r="504" spans="1:2" x14ac:dyDescent="0.3">
      <c r="A504" s="128">
        <v>868</v>
      </c>
      <c r="B504" s="129">
        <v>280</v>
      </c>
    </row>
    <row r="505" spans="1:2" x14ac:dyDescent="0.3">
      <c r="A505" s="128">
        <v>869</v>
      </c>
      <c r="B505" s="129">
        <v>280</v>
      </c>
    </row>
    <row r="506" spans="1:2" x14ac:dyDescent="0.3">
      <c r="A506" s="128">
        <v>870</v>
      </c>
      <c r="B506" s="129">
        <v>280</v>
      </c>
    </row>
    <row r="507" spans="1:2" x14ac:dyDescent="0.3">
      <c r="A507" s="128">
        <v>871</v>
      </c>
      <c r="B507" s="129">
        <v>280</v>
      </c>
    </row>
    <row r="508" spans="1:2" x14ac:dyDescent="0.3">
      <c r="A508" s="128">
        <v>872</v>
      </c>
      <c r="B508" s="129">
        <v>280</v>
      </c>
    </row>
    <row r="509" spans="1:2" x14ac:dyDescent="0.3">
      <c r="A509" s="128">
        <v>873</v>
      </c>
      <c r="B509" s="129">
        <v>280</v>
      </c>
    </row>
    <row r="510" spans="1:2" x14ac:dyDescent="0.3">
      <c r="A510" s="128">
        <v>874</v>
      </c>
      <c r="B510" s="129">
        <v>280</v>
      </c>
    </row>
    <row r="511" spans="1:2" x14ac:dyDescent="0.3">
      <c r="A511" s="128">
        <v>875</v>
      </c>
      <c r="B511" s="129">
        <v>280</v>
      </c>
    </row>
    <row r="512" spans="1:2" x14ac:dyDescent="0.3">
      <c r="A512" s="128">
        <v>876</v>
      </c>
      <c r="B512" s="129">
        <v>280</v>
      </c>
    </row>
    <row r="513" spans="1:2" x14ac:dyDescent="0.3">
      <c r="A513" s="128">
        <v>877</v>
      </c>
      <c r="B513" s="129">
        <v>280</v>
      </c>
    </row>
    <row r="514" spans="1:2" x14ac:dyDescent="0.3">
      <c r="A514" s="128">
        <v>878</v>
      </c>
      <c r="B514" s="129">
        <v>280</v>
      </c>
    </row>
    <row r="515" spans="1:2" x14ac:dyDescent="0.3">
      <c r="A515" s="128">
        <v>879</v>
      </c>
      <c r="B515" s="129">
        <v>280</v>
      </c>
    </row>
    <row r="516" spans="1:2" x14ac:dyDescent="0.3">
      <c r="A516" s="128">
        <v>880</v>
      </c>
      <c r="B516" s="129">
        <v>280</v>
      </c>
    </row>
    <row r="517" spans="1:2" x14ac:dyDescent="0.3">
      <c r="A517" s="128">
        <v>881</v>
      </c>
      <c r="B517" s="129">
        <v>280</v>
      </c>
    </row>
    <row r="518" spans="1:2" x14ac:dyDescent="0.3">
      <c r="A518" s="128">
        <v>882</v>
      </c>
      <c r="B518" s="129">
        <v>280</v>
      </c>
    </row>
    <row r="519" spans="1:2" x14ac:dyDescent="0.3">
      <c r="A519" s="128">
        <v>883</v>
      </c>
      <c r="B519" s="129">
        <v>280</v>
      </c>
    </row>
    <row r="520" spans="1:2" x14ac:dyDescent="0.3">
      <c r="A520" s="128">
        <v>884</v>
      </c>
      <c r="B520" s="129">
        <v>280</v>
      </c>
    </row>
    <row r="521" spans="1:2" x14ac:dyDescent="0.3">
      <c r="A521" s="128">
        <v>885</v>
      </c>
      <c r="B521" s="129">
        <v>280</v>
      </c>
    </row>
    <row r="522" spans="1:2" x14ac:dyDescent="0.3">
      <c r="A522" s="128">
        <v>886</v>
      </c>
      <c r="B522" s="129">
        <v>280</v>
      </c>
    </row>
    <row r="523" spans="1:2" x14ac:dyDescent="0.3">
      <c r="A523" s="128">
        <v>887</v>
      </c>
      <c r="B523" s="129">
        <v>280</v>
      </c>
    </row>
    <row r="524" spans="1:2" x14ac:dyDescent="0.3">
      <c r="A524" s="128">
        <v>888</v>
      </c>
      <c r="B524" s="129">
        <v>280</v>
      </c>
    </row>
    <row r="525" spans="1:2" x14ac:dyDescent="0.3">
      <c r="A525" s="128">
        <v>889</v>
      </c>
      <c r="B525" s="129">
        <v>280</v>
      </c>
    </row>
    <row r="526" spans="1:2" x14ac:dyDescent="0.3">
      <c r="A526" s="128">
        <v>890</v>
      </c>
      <c r="B526" s="129">
        <v>280</v>
      </c>
    </row>
    <row r="527" spans="1:2" x14ac:dyDescent="0.3">
      <c r="A527" s="128">
        <v>891</v>
      </c>
      <c r="B527" s="129">
        <v>280</v>
      </c>
    </row>
    <row r="528" spans="1:2" x14ac:dyDescent="0.3">
      <c r="A528" s="128">
        <v>892</v>
      </c>
      <c r="B528" s="129">
        <v>280</v>
      </c>
    </row>
    <row r="529" spans="1:2" x14ac:dyDescent="0.3">
      <c r="A529" s="128">
        <v>950</v>
      </c>
      <c r="B529" s="129">
        <v>280</v>
      </c>
    </row>
    <row r="530" spans="1:2" x14ac:dyDescent="0.3">
      <c r="A530" s="128">
        <v>951</v>
      </c>
      <c r="B530" s="129">
        <v>280</v>
      </c>
    </row>
    <row r="531" spans="1:2" x14ac:dyDescent="0.3">
      <c r="A531" s="128">
        <v>952</v>
      </c>
      <c r="B531" s="129">
        <v>280</v>
      </c>
    </row>
    <row r="532" spans="1:2" x14ac:dyDescent="0.3">
      <c r="A532" s="128">
        <v>953</v>
      </c>
      <c r="B532" s="129">
        <v>280</v>
      </c>
    </row>
    <row r="533" spans="1:2" x14ac:dyDescent="0.3">
      <c r="A533" s="128">
        <v>954</v>
      </c>
      <c r="B533" s="129">
        <v>280</v>
      </c>
    </row>
    <row r="534" spans="1:2" x14ac:dyDescent="0.3">
      <c r="A534" s="128">
        <v>955</v>
      </c>
      <c r="B534" s="129">
        <v>280</v>
      </c>
    </row>
    <row r="535" spans="1:2" x14ac:dyDescent="0.3">
      <c r="A535" s="128">
        <v>956</v>
      </c>
      <c r="B535" s="129">
        <v>280</v>
      </c>
    </row>
    <row r="536" spans="1:2" x14ac:dyDescent="0.3">
      <c r="A536" s="128">
        <v>957</v>
      </c>
      <c r="B536" s="129">
        <v>280</v>
      </c>
    </row>
    <row r="537" spans="1:2" x14ac:dyDescent="0.3">
      <c r="A537" s="128">
        <v>960</v>
      </c>
      <c r="B537" s="129">
        <v>280</v>
      </c>
    </row>
    <row r="538" spans="1:2" x14ac:dyDescent="0.3">
      <c r="A538" s="128">
        <v>961</v>
      </c>
      <c r="B538" s="129">
        <v>280</v>
      </c>
    </row>
    <row r="539" spans="1:2" x14ac:dyDescent="0.3">
      <c r="A539" s="128">
        <v>962</v>
      </c>
      <c r="B539" s="129">
        <v>280</v>
      </c>
    </row>
    <row r="540" spans="1:2" x14ac:dyDescent="0.3">
      <c r="A540" s="128">
        <v>963</v>
      </c>
      <c r="B540" s="129">
        <v>280</v>
      </c>
    </row>
    <row r="541" spans="1:2" x14ac:dyDescent="0.3">
      <c r="A541" s="128">
        <v>964</v>
      </c>
      <c r="B541" s="129">
        <v>280</v>
      </c>
    </row>
    <row r="542" spans="1:2" x14ac:dyDescent="0.3">
      <c r="A542" s="128">
        <v>965</v>
      </c>
      <c r="B542" s="129">
        <v>280</v>
      </c>
    </row>
    <row r="543" spans="1:2" x14ac:dyDescent="0.3">
      <c r="A543" s="128">
        <v>966</v>
      </c>
      <c r="B543" s="129">
        <v>280</v>
      </c>
    </row>
    <row r="544" spans="1:2" x14ac:dyDescent="0.3">
      <c r="A544" s="128">
        <v>967</v>
      </c>
      <c r="B544" s="129">
        <v>280</v>
      </c>
    </row>
    <row r="545" spans="1:2" x14ac:dyDescent="0.3">
      <c r="A545" s="128">
        <v>970</v>
      </c>
      <c r="B545" s="129">
        <v>280</v>
      </c>
    </row>
    <row r="546" spans="1:2" x14ac:dyDescent="0.3">
      <c r="A546" s="128">
        <v>980</v>
      </c>
      <c r="B546" s="129">
        <v>280</v>
      </c>
    </row>
    <row r="547" spans="1:2" x14ac:dyDescent="0.3">
      <c r="A547" s="128">
        <v>981</v>
      </c>
      <c r="B547" s="129">
        <v>280</v>
      </c>
    </row>
    <row r="548" spans="1:2" x14ac:dyDescent="0.3">
      <c r="A548" s="128">
        <v>982</v>
      </c>
      <c r="B548" s="129">
        <v>280</v>
      </c>
    </row>
    <row r="549" spans="1:2" x14ac:dyDescent="0.3">
      <c r="A549" s="128">
        <v>983</v>
      </c>
      <c r="B549" s="129">
        <v>280</v>
      </c>
    </row>
    <row r="550" spans="1:2" x14ac:dyDescent="0.3">
      <c r="A550" s="128">
        <v>984</v>
      </c>
      <c r="B550" s="129">
        <v>280</v>
      </c>
    </row>
    <row r="551" spans="1:2" x14ac:dyDescent="0.3">
      <c r="A551" s="128">
        <v>985</v>
      </c>
      <c r="B551" s="129">
        <v>280</v>
      </c>
    </row>
    <row r="552" spans="1:2" x14ac:dyDescent="0.3">
      <c r="A552" s="128">
        <v>986</v>
      </c>
      <c r="B552" s="129">
        <v>280</v>
      </c>
    </row>
    <row r="553" spans="1:2" x14ac:dyDescent="0.3">
      <c r="A553" s="128">
        <v>987</v>
      </c>
      <c r="B553" s="129">
        <v>280</v>
      </c>
    </row>
    <row r="554" spans="1:2" x14ac:dyDescent="0.3">
      <c r="A554" s="128">
        <v>990</v>
      </c>
      <c r="B554" s="129">
        <v>280</v>
      </c>
    </row>
    <row r="555" spans="1:2" ht="15" thickBot="1" x14ac:dyDescent="0.35">
      <c r="A555" s="130">
        <v>995</v>
      </c>
      <c r="B555" s="131">
        <v>0</v>
      </c>
    </row>
  </sheetData>
  <sheetProtection algorithmName="SHA-512" hashValue="xLfiBreKyrilH1TjmYbgdNRrNyrZQa+AYyB0IRPnvzjPq4yD5hnLKqGNzWK6gzukkjThTMpesVZYTCfkGL1AGQ==" saltValue="CdZIvKiEGtOsFu/ZeHQCXw==" spinCount="100000" sheet="1" objects="1" scenarios="1"/>
  <sortState ref="A234:E339">
    <sortCondition ref="A234:A339"/>
  </sortState>
  <pageMargins left="0.7" right="0.7" top="0.75" bottom="0.75" header="0.3" footer="0.3"/>
  <pageSetup orientation="portrait" r:id="rId1"/>
  <headerFooter>
    <oddHeader>&amp;CVersion 2 : 2017-04-10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G41"/>
  <sheetViews>
    <sheetView workbookViewId="0"/>
  </sheetViews>
  <sheetFormatPr baseColWidth="10" defaultRowHeight="14.4" x14ac:dyDescent="0.3"/>
  <cols>
    <col min="1" max="1" width="23.6640625" style="11" bestFit="1" customWidth="1"/>
    <col min="2" max="2" width="26.77734375" style="11" customWidth="1"/>
    <col min="3" max="6" width="11.5546875" style="11"/>
    <col min="7" max="7" width="28.88671875" style="11" bestFit="1" customWidth="1"/>
    <col min="8" max="16384" width="11.5546875" style="11"/>
  </cols>
  <sheetData>
    <row r="1" spans="1:7" ht="15" thickBot="1" x14ac:dyDescent="0.35">
      <c r="A1" s="176" t="s">
        <v>411</v>
      </c>
      <c r="B1" s="176" t="s">
        <v>468</v>
      </c>
      <c r="C1" s="176" t="s">
        <v>469</v>
      </c>
      <c r="D1" s="176" t="s">
        <v>470</v>
      </c>
      <c r="E1" s="176" t="s">
        <v>471</v>
      </c>
      <c r="F1" s="176" t="s">
        <v>472</v>
      </c>
      <c r="G1" s="176" t="s">
        <v>200</v>
      </c>
    </row>
    <row r="2" spans="1:7" x14ac:dyDescent="0.3">
      <c r="A2" s="29" t="s">
        <v>201</v>
      </c>
      <c r="B2" s="29" t="s">
        <v>183</v>
      </c>
      <c r="C2" s="26" t="s">
        <v>465</v>
      </c>
      <c r="D2" s="174" t="s">
        <v>180</v>
      </c>
      <c r="E2" s="175" t="s">
        <v>464</v>
      </c>
      <c r="F2" s="174"/>
      <c r="G2" s="29" t="str">
        <f>B2&amp;" - "&amp;C2&amp;" - "&amp;D2&amp;" - "&amp;E2</f>
        <v>MAN - RUB1 - H1 - PE2</v>
      </c>
    </row>
    <row r="3" spans="1:7" x14ac:dyDescent="0.3">
      <c r="A3" s="24" t="s">
        <v>202</v>
      </c>
      <c r="B3" s="24" t="s">
        <v>465</v>
      </c>
      <c r="C3" s="27" t="s">
        <v>180</v>
      </c>
      <c r="D3" s="24" t="s">
        <v>464</v>
      </c>
      <c r="E3" s="172"/>
      <c r="F3" s="24"/>
      <c r="G3" s="24" t="str">
        <f>B3&amp;" - "&amp;C3&amp;" - "&amp;D3</f>
        <v>RUB1 - H1 - PE2</v>
      </c>
    </row>
    <row r="4" spans="1:7" x14ac:dyDescent="0.3">
      <c r="A4" s="24" t="s">
        <v>203</v>
      </c>
      <c r="B4" s="27" t="s">
        <v>467</v>
      </c>
      <c r="C4" s="172" t="s">
        <v>466</v>
      </c>
      <c r="D4" s="24" t="s">
        <v>465</v>
      </c>
      <c r="E4" s="27" t="s">
        <v>180</v>
      </c>
      <c r="F4" s="24" t="s">
        <v>464</v>
      </c>
      <c r="G4" s="24" t="str">
        <f>B4&amp;" - "&amp;C4&amp;" - "&amp;D4&amp;" - "&amp;E4&amp;" - "&amp;F4</f>
        <v>EMR1 - BNT1 - RUB1 - H1 - PE2</v>
      </c>
    </row>
    <row r="5" spans="1:7" x14ac:dyDescent="0.3">
      <c r="A5" s="24" t="s">
        <v>8</v>
      </c>
      <c r="B5" s="27" t="s">
        <v>467</v>
      </c>
      <c r="C5" s="172" t="s">
        <v>466</v>
      </c>
      <c r="D5" s="24" t="s">
        <v>465</v>
      </c>
      <c r="E5" s="27" t="s">
        <v>180</v>
      </c>
      <c r="F5" s="24" t="s">
        <v>464</v>
      </c>
      <c r="G5" s="24" t="str">
        <f>B5&amp;" - "&amp;C5&amp;" - "&amp;D5&amp;" - "&amp;E5&amp;" - "&amp;F5</f>
        <v>EMR1 - BNT1 - RUB1 - H1 - PE2</v>
      </c>
    </row>
    <row r="6" spans="1:7" x14ac:dyDescent="0.3">
      <c r="A6" s="24" t="s">
        <v>204</v>
      </c>
      <c r="B6" s="27" t="s">
        <v>467</v>
      </c>
      <c r="C6" s="172" t="s">
        <v>466</v>
      </c>
      <c r="D6" s="24" t="s">
        <v>180</v>
      </c>
      <c r="E6" s="172" t="s">
        <v>464</v>
      </c>
      <c r="F6" s="24"/>
      <c r="G6" s="24" t="str">
        <f>B6&amp;" - "&amp;C6&amp;" - "&amp;D6&amp;" - "&amp;E6</f>
        <v>EMR1 - BNT1 - H1 - PE2</v>
      </c>
    </row>
    <row r="7" spans="1:7" x14ac:dyDescent="0.3">
      <c r="A7" s="24" t="s">
        <v>205</v>
      </c>
      <c r="B7" s="27" t="s">
        <v>467</v>
      </c>
      <c r="C7" s="172" t="s">
        <v>466</v>
      </c>
      <c r="D7" s="24" t="s">
        <v>465</v>
      </c>
      <c r="E7" s="27" t="s">
        <v>180</v>
      </c>
      <c r="F7" s="24" t="s">
        <v>464</v>
      </c>
      <c r="G7" s="24" t="str">
        <f>B7&amp;" - "&amp;C7&amp;" - "&amp;D7&amp;" - "&amp;E7&amp;" - "&amp;F7</f>
        <v>EMR1 - BNT1 - RUB1 - H1 - PE2</v>
      </c>
    </row>
    <row r="8" spans="1:7" ht="15" thickBot="1" x14ac:dyDescent="0.35">
      <c r="A8" s="32" t="s">
        <v>404</v>
      </c>
      <c r="B8" s="28"/>
      <c r="C8" s="173"/>
      <c r="D8" s="25"/>
      <c r="E8" s="173"/>
      <c r="F8" s="25"/>
      <c r="G8" s="25" t="s">
        <v>499</v>
      </c>
    </row>
    <row r="10" spans="1:7" ht="15" thickBot="1" x14ac:dyDescent="0.35">
      <c r="A10" s="1" t="s">
        <v>464</v>
      </c>
    </row>
    <row r="11" spans="1:7" x14ac:dyDescent="0.3">
      <c r="A11" s="33" t="s">
        <v>195</v>
      </c>
      <c r="B11" s="17">
        <f>(0+1)</f>
        <v>1</v>
      </c>
    </row>
    <row r="12" spans="1:7" x14ac:dyDescent="0.3">
      <c r="A12" s="34" t="s">
        <v>196</v>
      </c>
      <c r="B12" s="18">
        <f>(0+1)</f>
        <v>1</v>
      </c>
    </row>
    <row r="13" spans="1:7" x14ac:dyDescent="0.3">
      <c r="A13" s="34" t="s">
        <v>197</v>
      </c>
      <c r="B13" s="18">
        <f>(1+0.007)</f>
        <v>1.0069999999999999</v>
      </c>
    </row>
    <row r="14" spans="1:7" x14ac:dyDescent="0.3">
      <c r="A14" s="34" t="s">
        <v>198</v>
      </c>
      <c r="B14" s="18">
        <f>(1+0.026)</f>
        <v>1.026</v>
      </c>
    </row>
    <row r="15" spans="1:7" ht="15" thickBot="1" x14ac:dyDescent="0.35">
      <c r="A15" s="35" t="s">
        <v>199</v>
      </c>
      <c r="B15" s="19">
        <f>(1+0.061)</f>
        <v>1.0609999999999999</v>
      </c>
    </row>
    <row r="17" spans="1:4" ht="15" thickBot="1" x14ac:dyDescent="0.35">
      <c r="A17" s="1" t="s">
        <v>466</v>
      </c>
    </row>
    <row r="18" spans="1:4" ht="16.2" x14ac:dyDescent="0.3">
      <c r="A18" s="33" t="s">
        <v>411</v>
      </c>
      <c r="B18" s="17" t="s">
        <v>672</v>
      </c>
      <c r="C18" s="23"/>
      <c r="D18" s="23"/>
    </row>
    <row r="19" spans="1:4" x14ac:dyDescent="0.3">
      <c r="A19" s="34" t="s">
        <v>412</v>
      </c>
      <c r="B19" s="18">
        <v>0.8</v>
      </c>
      <c r="C19" s="23"/>
      <c r="D19" s="23"/>
    </row>
    <row r="20" spans="1:4" x14ac:dyDescent="0.3">
      <c r="A20" s="34" t="s">
        <v>413</v>
      </c>
      <c r="B20" s="18">
        <v>2</v>
      </c>
      <c r="C20" s="23"/>
      <c r="D20" s="23"/>
    </row>
    <row r="21" spans="1:4" x14ac:dyDescent="0.3">
      <c r="A21" s="34" t="s">
        <v>494</v>
      </c>
      <c r="B21" s="18">
        <v>1.8</v>
      </c>
      <c r="C21" s="23"/>
      <c r="D21" s="23"/>
    </row>
    <row r="22" spans="1:4" ht="15" thickBot="1" x14ac:dyDescent="0.35">
      <c r="A22" s="35" t="s">
        <v>495</v>
      </c>
      <c r="B22" s="19">
        <v>1</v>
      </c>
      <c r="C22" s="23"/>
      <c r="D22" s="23"/>
    </row>
    <row r="24" spans="1:4" ht="15" thickBot="1" x14ac:dyDescent="0.35">
      <c r="A24" s="1" t="s">
        <v>465</v>
      </c>
    </row>
    <row r="25" spans="1:4" ht="16.2" x14ac:dyDescent="0.3">
      <c r="A25" s="33" t="s">
        <v>411</v>
      </c>
      <c r="B25" s="17" t="s">
        <v>496</v>
      </c>
    </row>
    <row r="26" spans="1:4" x14ac:dyDescent="0.3">
      <c r="A26" s="34" t="s">
        <v>412</v>
      </c>
      <c r="B26" s="18">
        <v>1135</v>
      </c>
    </row>
    <row r="27" spans="1:4" ht="15" thickBot="1" x14ac:dyDescent="0.35">
      <c r="A27" s="35" t="s">
        <v>413</v>
      </c>
      <c r="B27" s="19">
        <v>-1</v>
      </c>
    </row>
    <row r="29" spans="1:4" ht="15" thickBot="1" x14ac:dyDescent="0.35">
      <c r="A29" s="1" t="s">
        <v>549</v>
      </c>
    </row>
    <row r="30" spans="1:4" ht="15" thickBot="1" x14ac:dyDescent="0.35">
      <c r="A30" s="50">
        <v>0.9</v>
      </c>
    </row>
    <row r="32" spans="1:4" ht="15" thickBot="1" x14ac:dyDescent="0.35">
      <c r="A32" s="1" t="s">
        <v>597</v>
      </c>
    </row>
    <row r="33" spans="1:3" x14ac:dyDescent="0.3">
      <c r="A33" s="197">
        <v>1.776</v>
      </c>
    </row>
    <row r="34" spans="1:3" ht="15" thickBot="1" x14ac:dyDescent="0.35">
      <c r="A34" s="198">
        <v>413</v>
      </c>
    </row>
    <row r="36" spans="1:3" ht="15" thickBot="1" x14ac:dyDescent="0.35">
      <c r="A36" s="1" t="s">
        <v>598</v>
      </c>
    </row>
    <row r="37" spans="1:3" x14ac:dyDescent="0.3">
      <c r="A37" s="33" t="s">
        <v>599</v>
      </c>
      <c r="B37" s="17">
        <v>45</v>
      </c>
      <c r="C37" s="203"/>
    </row>
    <row r="38" spans="1:3" ht="15" thickBot="1" x14ac:dyDescent="0.35">
      <c r="A38" s="35" t="s">
        <v>600</v>
      </c>
      <c r="B38" s="19">
        <v>75</v>
      </c>
      <c r="C38" s="203"/>
    </row>
    <row r="40" spans="1:3" ht="15" thickBot="1" x14ac:dyDescent="0.35">
      <c r="A40" s="291" t="s">
        <v>667</v>
      </c>
    </row>
    <row r="41" spans="1:3" ht="15" thickBot="1" x14ac:dyDescent="0.35">
      <c r="A41" s="292" t="s">
        <v>668</v>
      </c>
      <c r="B41" s="293">
        <v>39</v>
      </c>
    </row>
  </sheetData>
  <sheetProtection algorithmName="SHA-512" hashValue="mTyX23SqoBvUjyMak4zLfMx7BecyaXLO+p5yO76RipUAVQnaDYMliWxg74UyKg1W1VjzNg0e5jAKsdYF+qi9pQ==" saltValue="XWKLGi+iuaFavEeKXP3jVg==" spinCount="100000" sheet="1" objects="1" scenarios="1"/>
  <pageMargins left="0.7" right="0.7" top="0.75" bottom="0.75" header="0.3" footer="0.3"/>
  <pageSetup orientation="portrait" r:id="rId1"/>
  <headerFooter>
    <oddHeader>&amp;CVersion 2 : 2017-04-10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61</vt:i4>
      </vt:variant>
    </vt:vector>
  </HeadingPairs>
  <TitlesOfParts>
    <vt:vector size="68" baseType="lpstr">
      <vt:lpstr>Calcul des taux (formules)</vt:lpstr>
      <vt:lpstr>Aide suppl. (volets I et II)</vt:lpstr>
      <vt:lpstr>Traitements admissibles</vt:lpstr>
      <vt:lpstr>Réductions zones-bandes</vt:lpstr>
      <vt:lpstr>Versions du fichier</vt:lpstr>
      <vt:lpstr>Menus</vt:lpstr>
      <vt:lpstr>Majorations applicables</vt:lpstr>
      <vt:lpstr>Codes_DICA</vt:lpstr>
      <vt:lpstr>Codes_RATF</vt:lpstr>
      <vt:lpstr>F_1INR_ENS</vt:lpstr>
      <vt:lpstr>F_1INR_MUL</vt:lpstr>
      <vt:lpstr>F_1INR_SEC</vt:lpstr>
      <vt:lpstr>F_2I_MUL</vt:lpstr>
      <vt:lpstr>F_3I_MUL</vt:lpstr>
      <vt:lpstr>F_CJB_EMR</vt:lpstr>
      <vt:lpstr>F_CJP_AM</vt:lpstr>
      <vt:lpstr>F_CJP_HQ</vt:lpstr>
      <vt:lpstr>F_CJP_QM</vt:lpstr>
      <vt:lpstr>F_CJPG_AM</vt:lpstr>
      <vt:lpstr>F_CJPG_HQ</vt:lpstr>
      <vt:lpstr>F_CJPG_QM</vt:lpstr>
      <vt:lpstr>F_CJT_EMR</vt:lpstr>
      <vt:lpstr>F_CPI_CP_ENS_B</vt:lpstr>
      <vt:lpstr>F_CPI_CP_ENS_U</vt:lpstr>
      <vt:lpstr>F_CPI_CP_SEC_B</vt:lpstr>
      <vt:lpstr>F_CPI_CP_SEC_U</vt:lpstr>
      <vt:lpstr>F_CPI_RL_2I_ENS</vt:lpstr>
      <vt:lpstr>F_CPI_RL_2I_SEC</vt:lpstr>
      <vt:lpstr>F_CPI_RL_3I_ENS</vt:lpstr>
      <vt:lpstr>F_CPI_RL_3I_SEC</vt:lpstr>
      <vt:lpstr>F_CPI_RL_MUL</vt:lpstr>
      <vt:lpstr>F_CPI_RL_PR</vt:lpstr>
      <vt:lpstr>F_CPR_BA</vt:lpstr>
      <vt:lpstr>F_CPR_T</vt:lpstr>
      <vt:lpstr>F_CPR_U_ENS</vt:lpstr>
      <vt:lpstr>F_CPR_U_PR</vt:lpstr>
      <vt:lpstr>F_CPR_U_SEC</vt:lpstr>
      <vt:lpstr>F_EC_MIXTE_BAS</vt:lpstr>
      <vt:lpstr>F_EC_MIXTE_HAUT</vt:lpstr>
      <vt:lpstr>F_EC_MIXTE_NEUTRE</vt:lpstr>
      <vt:lpstr>F_EC_SEL_BAS</vt:lpstr>
      <vt:lpstr>F_EC_SEL_HAUT</vt:lpstr>
      <vt:lpstr>F_EC_SEL_NEUTRE</vt:lpstr>
      <vt:lpstr>F_EJ_P_CLAS</vt:lpstr>
      <vt:lpstr>F_EJ_P_INI</vt:lpstr>
      <vt:lpstr>F_EJ_PG_CLAS</vt:lpstr>
      <vt:lpstr>F_EJ_PG_INI</vt:lpstr>
      <vt:lpstr>F_Utilisateur</vt:lpstr>
      <vt:lpstr>Formules</vt:lpstr>
      <vt:lpstr>'Traitements admissibles'!Impression_des_titres</vt:lpstr>
      <vt:lpstr>'Versions du fichier'!Impression_des_titres</vt:lpstr>
      <vt:lpstr>Majoration_H1</vt:lpstr>
      <vt:lpstr>Majoration_MAN</vt:lpstr>
      <vt:lpstr>Majoration_MAN_DIFF_F1</vt:lpstr>
      <vt:lpstr>Majoration_MAN_F1</vt:lpstr>
      <vt:lpstr>Majoration_RUB</vt:lpstr>
      <vt:lpstr>Question</vt:lpstr>
      <vt:lpstr>Selection_Formule_1</vt:lpstr>
      <vt:lpstr>Selection_Formule_2</vt:lpstr>
      <vt:lpstr>Selection_Formule_4</vt:lpstr>
      <vt:lpstr>Selection_Formule_5</vt:lpstr>
      <vt:lpstr>Selection_Formule_6</vt:lpstr>
      <vt:lpstr>Selection_Formule_7</vt:lpstr>
      <vt:lpstr>UA</vt:lpstr>
      <vt:lpstr>'Aide suppl. (volets I et II)'!Zone_d_impression</vt:lpstr>
      <vt:lpstr>'Calcul des taux (formules)'!Zone_d_impression</vt:lpstr>
      <vt:lpstr>'Traitements admissibles'!Zone_d_impression</vt:lpstr>
      <vt:lpstr>Zones_de_tarification</vt:lpstr>
    </vt:vector>
  </TitlesOfParts>
  <Company>MRN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Pouliot, Simon (BMMB)</dc:creator>
  <cp:lastModifiedBy>Pouliot, Simon (BMMB)</cp:lastModifiedBy>
  <cp:lastPrinted>2017-04-27T12:49:09Z</cp:lastPrinted>
  <dcterms:created xsi:type="dcterms:W3CDTF">2017-02-06T13:37:46Z</dcterms:created>
  <dcterms:modified xsi:type="dcterms:W3CDTF">2017-04-27T12:49:33Z</dcterms:modified>
</cp:coreProperties>
</file>