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1411ae\DEEOF\BMMB\Travaux commerciaux\2016-2017\Versions officielles 2016-2017\"/>
    </mc:Choice>
  </mc:AlternateContent>
  <bookViews>
    <workbookView xWindow="0" yWindow="0" windowWidth="23040" windowHeight="9360"/>
  </bookViews>
  <sheets>
    <sheet name="Feuille de calcul" sheetId="2" r:id="rId1"/>
    <sheet name="Aide supplémentaire" sheetId="4" r:id="rId2"/>
    <sheet name="Traitements admissibles" sheetId="3" r:id="rId3"/>
    <sheet name="Réductions zones-bandes" sheetId="5" r:id="rId4"/>
  </sheets>
  <definedNames>
    <definedName name="_xlnm._FilterDatabase" localSheetId="2" hidden="1">'Traitements admissibles'!#REF!</definedName>
    <definedName name="formule" localSheetId="1">'Aide supplémentaire'!$DA$9:$DA$44</definedName>
    <definedName name="formule">'Feuille de calcul'!$DA$9:$DA$14</definedName>
    <definedName name="heberg">'Feuille de calcul'!$DB$4:$DB$5</definedName>
    <definedName name="manuel" localSheetId="1">'Aide supplémentaire'!#REF!</definedName>
    <definedName name="manuel" localSheetId="0">'Feuille de calcul'!$DC$4:$DC$5</definedName>
    <definedName name="ouinon" localSheetId="1">'Aide supplémentaire'!$DA$4:$DA$5</definedName>
    <definedName name="ouinon" localSheetId="0">'Feuille de calcul'!$DA$4:$DA$5</definedName>
    <definedName name="Tigerécoltée" localSheetId="1">'Aide supplémentaire'!#REF!</definedName>
    <definedName name="Tigerécoltée">'Feuille de calcul'!$DD$4:$DD$5</definedName>
    <definedName name="UAF">'Aide supplémentaire'!$CX$6:$CX$76</definedName>
    <definedName name="zone">'Aide supplémentaire'!$CY$6:$CY$191</definedName>
    <definedName name="_xlnm.Print_Area" localSheetId="1">'Aide supplémentaire'!$A$1:$G$60</definedName>
    <definedName name="_xlnm.Print_Area" localSheetId="0">'Feuille de calcul'!$A$1:$G$56</definedName>
    <definedName name="_xlnm.Print_Area" localSheetId="3">'Réductions zones-bandes'!$A$1:$AW$58</definedName>
    <definedName name="_xlnm.Print_Area" localSheetId="2">'Traitements admissibles'!$A$1:$G$112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1" i="2" l="1"/>
  <c r="DD14" i="2" l="1"/>
  <c r="DD13" i="2"/>
  <c r="DD12" i="2"/>
  <c r="F22" i="4" l="1"/>
  <c r="F27" i="4" s="1"/>
  <c r="F20" i="4" l="1"/>
  <c r="F41" i="4" l="1"/>
  <c r="F35" i="4"/>
  <c r="F42" i="4" l="1"/>
  <c r="F45" i="4" s="1"/>
  <c r="F28" i="4"/>
  <c r="F44" i="4" s="1"/>
  <c r="F46" i="4" l="1"/>
  <c r="DB12" i="2" l="1"/>
  <c r="DB10" i="2"/>
  <c r="DB11" i="2"/>
  <c r="DB14" i="2"/>
  <c r="DB13" i="2"/>
  <c r="DV10" i="2" l="1"/>
  <c r="DF11" i="2"/>
  <c r="DH14" i="2"/>
  <c r="DB9" i="2"/>
  <c r="F31" i="2" l="1"/>
  <c r="DV9" i="2"/>
  <c r="DC18" i="2"/>
  <c r="DB18" i="2"/>
  <c r="E30" i="2" l="1"/>
  <c r="DH13" i="2"/>
  <c r="DN9" i="2" l="1"/>
  <c r="F37" i="2" s="1"/>
  <c r="DH12" i="2"/>
  <c r="DH11" i="2"/>
  <c r="DJ9" i="2"/>
  <c r="DJ10" i="2"/>
  <c r="DL10" i="2" s="1"/>
  <c r="DJ11" i="2"/>
  <c r="DJ12" i="2"/>
  <c r="DJ14" i="2"/>
  <c r="DL9" i="2" l="1"/>
  <c r="DP9" i="2" s="1"/>
  <c r="DL11" i="2"/>
  <c r="DV11" i="2"/>
  <c r="F35" i="2"/>
  <c r="F34" i="2"/>
  <c r="F32" i="2"/>
  <c r="DF14" i="2" s="1"/>
  <c r="DF12" i="2"/>
  <c r="DL12" i="2" s="1"/>
  <c r="DP10" i="2"/>
  <c r="DF13" i="2"/>
  <c r="DL13" i="2" s="1"/>
  <c r="DV14" i="2" l="1"/>
  <c r="DL14" i="2"/>
  <c r="DV13" i="2"/>
  <c r="DV12" i="2"/>
  <c r="DP11" i="2"/>
  <c r="DR11" i="2" s="1"/>
  <c r="DP14" i="2"/>
  <c r="DR14" i="2" s="1"/>
  <c r="DR9" i="2"/>
  <c r="DP12" i="2"/>
  <c r="F33" i="2"/>
  <c r="DR10" i="2"/>
  <c r="F42" i="2" l="1"/>
  <c r="DP13" i="2"/>
  <c r="DR13" i="2" s="1"/>
  <c r="DR12" i="2"/>
  <c r="F36" i="2"/>
  <c r="E29" i="2"/>
  <c r="EB12" i="2" s="1"/>
  <c r="F38" i="2" l="1"/>
  <c r="C24" i="2"/>
  <c r="D24" i="2" s="1"/>
  <c r="C28" i="2"/>
  <c r="D28" i="2" s="1"/>
  <c r="C25" i="2"/>
  <c r="D25" i="2" s="1"/>
  <c r="C26" i="2"/>
  <c r="D26" i="2" s="1"/>
  <c r="F39" i="2"/>
  <c r="C27" i="2"/>
  <c r="D27" i="2" s="1"/>
  <c r="EB11" i="2"/>
  <c r="EB10" i="2"/>
  <c r="EB9" i="2"/>
  <c r="EB13" i="2"/>
  <c r="EB14" i="2"/>
  <c r="F46" i="2" l="1"/>
  <c r="DT13" i="2" l="1"/>
  <c r="DX13" i="2" s="1"/>
  <c r="DZ13" i="2" s="1"/>
  <c r="ED13" i="2" s="1"/>
  <c r="DT12" i="2"/>
  <c r="DX12" i="2" s="1"/>
  <c r="DZ12" i="2" s="1"/>
  <c r="ED12" i="2" s="1"/>
  <c r="DT11" i="2"/>
  <c r="DX11" i="2" s="1"/>
  <c r="DZ11" i="2" s="1"/>
  <c r="DT10" i="2"/>
  <c r="DX10" i="2" s="1"/>
  <c r="DZ10" i="2" s="1"/>
  <c r="ED10" i="2" s="1"/>
  <c r="DT9" i="2"/>
  <c r="DX9" i="2" s="1"/>
  <c r="DZ9" i="2" s="1"/>
  <c r="ED9" i="2" s="1"/>
  <c r="DT14" i="2"/>
  <c r="ED11" i="2" l="1"/>
  <c r="DX14" i="2"/>
  <c r="DZ14" i="2" s="1"/>
  <c r="ED14" i="2" s="1"/>
  <c r="F40" i="2"/>
  <c r="F47" i="2" l="1"/>
  <c r="F41" i="2"/>
  <c r="F45" i="2"/>
</calcChain>
</file>

<file path=xl/comments1.xml><?xml version="1.0" encoding="utf-8"?>
<comments xmlns="http://schemas.openxmlformats.org/spreadsheetml/2006/main">
  <authors>
    <author>St-Pierre, Stéphane (BMMB)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>Indiquer les superficies à cet endroit.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Pour trouver la bonne formule à utiliser, vous pouvez consulter l'onglet traitements admissibles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St-Pierre, Stéphane (BMMB)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Les secteurs d’intervention dont la surface terrière feuillue est dominée par les peupliers (&gt;50%) sont exclus.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Si tous les bois de trituration sont récupérés, inscrire 100%.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Si toute l'aide est calculée selon la zone, inscrire 100%. 
Si toute l'aide est calculée pour une autre destination, inscrire 0%.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Par rapport au total des bois feuillus récoltés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Par rapport au total des bois feuillus récoltés</t>
        </r>
      </text>
    </comment>
  </commentList>
</comments>
</file>

<file path=xl/comments3.xml><?xml version="1.0" encoding="utf-8"?>
<comments xmlns="http://schemas.openxmlformats.org/spreadsheetml/2006/main">
  <authors>
    <author>St-Pierre, Stéphane (BMMB)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L'équivalent de l'ancienne sélection rapprochée (5-5-5).</t>
        </r>
      </text>
    </comment>
  </commentList>
</comments>
</file>

<file path=xl/sharedStrings.xml><?xml version="1.0" encoding="utf-8"?>
<sst xmlns="http://schemas.openxmlformats.org/spreadsheetml/2006/main" count="462" uniqueCount="276">
  <si>
    <t>UAF</t>
  </si>
  <si>
    <r>
      <t>Taux de base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</si>
  <si>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Formule 1</t>
  </si>
  <si>
    <t>Rubannage: espacement entre les sentiers (m)</t>
  </si>
  <si>
    <t>Hébergement: majoration de l'exécution (%)</t>
  </si>
  <si>
    <t>Ajustement du taux en fonction de la pente</t>
  </si>
  <si>
    <t>A</t>
  </si>
  <si>
    <t>B</t>
  </si>
  <si>
    <t>C</t>
  </si>
  <si>
    <t>D</t>
  </si>
  <si>
    <t>E</t>
  </si>
  <si>
    <t>Pente</t>
  </si>
  <si>
    <t>Taux ($/ha)</t>
  </si>
  <si>
    <t>Écart ($/ha)</t>
  </si>
  <si>
    <t>POURCENTAGE D'INVESTISSEMENT</t>
  </si>
  <si>
    <t>oui</t>
  </si>
  <si>
    <t>non</t>
  </si>
  <si>
    <t>Superficie (ha)</t>
  </si>
  <si>
    <t>Formule 2</t>
  </si>
  <si>
    <t>Formule 4</t>
  </si>
  <si>
    <t>Formule 5</t>
  </si>
  <si>
    <t>Formule 6</t>
  </si>
  <si>
    <t>Formule 7</t>
  </si>
  <si>
    <t>Ratio des trouées sous forme de CPRS (%)</t>
  </si>
  <si>
    <t>Total:</t>
  </si>
  <si>
    <t>SEPM, mixtes à tendance résineuse  et feuillus intolérants</t>
  </si>
  <si>
    <t>EC_SEL-BAS</t>
  </si>
  <si>
    <t>EC_SEL-HAUT</t>
  </si>
  <si>
    <t>EC_SEL-NEUTRE</t>
  </si>
  <si>
    <t>EC_MIXTE-BAS</t>
  </si>
  <si>
    <t>EC_MIXTE-HAUT</t>
  </si>
  <si>
    <t>EC_MIXTE-NEUTRE</t>
  </si>
  <si>
    <t>Feuillus tolérants, autres résineux et mixtes à tendance feuillue</t>
  </si>
  <si>
    <t>EJ_P-CLAS</t>
  </si>
  <si>
    <t>EJ_P-INI</t>
  </si>
  <si>
    <t>EJ_PG-CLAS</t>
  </si>
  <si>
    <t>EJ_PG-INI</t>
  </si>
  <si>
    <t>Coupe de jardinage par pieds d'arbres ou pieds d'arbres et groupes d'arbres</t>
  </si>
  <si>
    <t>CJP-AM</t>
  </si>
  <si>
    <t>CJP-HQ</t>
  </si>
  <si>
    <t>CJP-QM</t>
  </si>
  <si>
    <t>CJPG-AM</t>
  </si>
  <si>
    <t>CJPG-HQ</t>
  </si>
  <si>
    <t>CJPG-QM</t>
  </si>
  <si>
    <t>CPR_U-ENS</t>
  </si>
  <si>
    <t>CPR_U-PR</t>
  </si>
  <si>
    <t>CPI_CP-ENS_U</t>
  </si>
  <si>
    <t>CPI_CP-SEC_U</t>
  </si>
  <si>
    <t>CPI_RL-2I_ENS</t>
  </si>
  <si>
    <t>CPI_RL-2I_SEC</t>
  </si>
  <si>
    <t>CPI_RL-3I_ENS</t>
  </si>
  <si>
    <t>CPI_RL-3I_SEC</t>
  </si>
  <si>
    <t>CPI_RL-MUL</t>
  </si>
  <si>
    <t>CPI_RL-PR</t>
  </si>
  <si>
    <t>CJT-EMR</t>
  </si>
  <si>
    <t>CPI_CP-ENS_B</t>
  </si>
  <si>
    <t>CPI_CP-SEC_B</t>
  </si>
  <si>
    <t>SUPERFICIE (ha)</t>
  </si>
  <si>
    <r>
      <t>Volume moyen des tiges à récolter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(brut)</t>
    </r>
  </si>
  <si>
    <t>Exécution</t>
  </si>
  <si>
    <t>Sélection des tiges à récolter</t>
  </si>
  <si>
    <t>Martelage</t>
  </si>
  <si>
    <t>Opérateur</t>
  </si>
  <si>
    <t>Alerte</t>
  </si>
  <si>
    <t>Réduction zone (%)</t>
  </si>
  <si>
    <t>Réduction trouées</t>
  </si>
  <si>
    <t>Rubannage</t>
  </si>
  <si>
    <t>Héberg. Exéc.</t>
  </si>
  <si>
    <t>Opérations man. majo.</t>
  </si>
  <si>
    <t>Sous-tot. Exéc. ($/ha)</t>
  </si>
  <si>
    <t>Sous-tot. Exéc. ($/m3)</t>
  </si>
  <si>
    <t>Majoration pente</t>
  </si>
  <si>
    <t>Total majoration de la pente ($/ha)</t>
  </si>
  <si>
    <t>Réduction zone ($/m3)</t>
  </si>
  <si>
    <t>Majo. Exéc.</t>
  </si>
  <si>
    <t>Total</t>
  </si>
  <si>
    <t>Superficie</t>
  </si>
  <si>
    <t>Montant total exéc.</t>
  </si>
  <si>
    <r>
      <t>Ratio des trouées sous forme de CPRS (réduction 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</si>
  <si>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Volume à prélever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 (net)</t>
    </r>
  </si>
  <si>
    <r>
      <t>Volume moyen des tiges du peuplement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(brut)</t>
    </r>
  </si>
  <si>
    <t>Coupes partielles :
détermination de l'aide financière
2016-2017</t>
  </si>
  <si>
    <t>SECTEUR D'INTERVENTION</t>
  </si>
  <si>
    <t>UNITÉ DE COMPILATION</t>
  </si>
  <si>
    <t>NUMÉRO DE LA PRESCRIPTION</t>
  </si>
  <si>
    <t>TRAITEMENT (CODE DICA)</t>
  </si>
  <si>
    <t>TOTAL À PAYER ($/ha)</t>
  </si>
  <si>
    <t>MONTANT TOTAL À PAYER ($)</t>
  </si>
  <si>
    <t>Aide supplémentaire à l’aménagement des forêts feuillues et mixtes
2016-2017</t>
  </si>
  <si>
    <t>Admissibilité</t>
  </si>
  <si>
    <t>ADMISSIBLE À L'AIDE FINANCIÈRE POUR LES COUPES PARTIELLES</t>
  </si>
  <si>
    <t>OUI</t>
  </si>
  <si>
    <t>NON</t>
  </si>
  <si>
    <t>POURCENTAGE DE RÉCUPÉRATION DES BOIS DE TRITURATION</t>
  </si>
  <si>
    <t>Zone</t>
  </si>
  <si>
    <t>Taux</t>
  </si>
  <si>
    <t>DESTINATION</t>
  </si>
  <si>
    <t>NUMÉRO DE PROJET DE MESURAGE</t>
  </si>
  <si>
    <t>DISTANCE (Km)</t>
  </si>
  <si>
    <r>
      <t>VOLUME DÉCLARÉ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</si>
  <si>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PROPORTION DES BOIS ASSIGNÉE À CE CALCUL (%)</t>
  </si>
  <si>
    <t>Volet II : Transport et mesurage optimisés des bois feuillus en longueur</t>
  </si>
  <si>
    <t>TRANSPORT DES BOIS FEUILLUS EN LONGUEUR</t>
  </si>
  <si>
    <t>MESURAGE OPTIMISÉ DES BOIS FEUILLUS</t>
  </si>
  <si>
    <t>SUPERFICIE ADMISSIBLE (ha)</t>
  </si>
  <si>
    <t>SOUS-TOTAL AIDE SELON LA ZONE DE TARIFICATION ($/ha)</t>
  </si>
  <si>
    <t>SOUS-TOTAL AIDE AUTRE DESTINATION ($/ha)</t>
  </si>
  <si>
    <t>TOTAL AIDE VOLET I ($/ha)</t>
  </si>
  <si>
    <t>SOUS-TOTAL AIDE AU TRANSPORT ($/ha)</t>
  </si>
  <si>
    <t>SOUS-TOTAL AIDE AU MESURAGE OPTIMISÉ ($/ha)</t>
  </si>
  <si>
    <t>TOTAL AIDE VOLET II ($/ha)</t>
  </si>
  <si>
    <t>GRAND TOTAL AIDE VOLET I ($)</t>
  </si>
  <si>
    <t>GRAND TOTAL AIDE VOLET II ($)</t>
  </si>
  <si>
    <t>Identification</t>
  </si>
  <si>
    <t>Nom et prénom de l'ingénieur forestier</t>
  </si>
  <si>
    <t>No de permis</t>
  </si>
  <si>
    <t>Signature de l'ingénieur forestier</t>
  </si>
  <si>
    <t>ZONE DE TARIFICATION</t>
  </si>
  <si>
    <t>GRAND TOTAL ADMISSIBLE ($)</t>
  </si>
  <si>
    <t>Volet I : Mesure d'accès au marché (bois de trituration)</t>
  </si>
  <si>
    <t>Intrants</t>
  </si>
  <si>
    <t>Majorations et réductions</t>
  </si>
  <si>
    <t>Résumé de l'aide financière</t>
  </si>
  <si>
    <t>Coupe progressive irrégulière à couvert permanent par bandes</t>
  </si>
  <si>
    <t>Coupe progressive irrégulière à régénération lente</t>
  </si>
  <si>
    <t>CPR_U_SEC</t>
  </si>
  <si>
    <t>Coupe progressive régulière par bandes ou trouées</t>
  </si>
  <si>
    <t>CPR_BA</t>
  </si>
  <si>
    <t>CPR_T</t>
  </si>
  <si>
    <t>Éclaircie jardinatoire par pieds d'arbres ou pieds d'arbres et groupes d'arbres</t>
  </si>
  <si>
    <t>Coupe de jardinage par bande avec éclaircie dans la matrice résiduelle</t>
  </si>
  <si>
    <t>Uniforme</t>
  </si>
  <si>
    <t>Coupe progressive régulière</t>
  </si>
  <si>
    <t>Coupe de jardinage par troués avec éclaircie dans la matrice résiduelle</t>
  </si>
  <si>
    <t>CJB-EMR</t>
  </si>
  <si>
    <t>Par bandes ou par trouées</t>
  </si>
  <si>
    <t>Coupe progressive irrégulière à couvert permanent</t>
  </si>
  <si>
    <t>Régulière</t>
  </si>
  <si>
    <t>Irrégulière</t>
  </si>
  <si>
    <t>Jardinée / gestion avec cohortes juxtaposées</t>
  </si>
  <si>
    <t>--</t>
  </si>
  <si>
    <t>Éclaircie commerciale</t>
  </si>
  <si>
    <t>Réduction pour zones ou bandes non traitées</t>
  </si>
  <si>
    <t>Largeur de la zone ou bande entièrement récoltée (m)</t>
  </si>
  <si>
    <t>Largeur de la zone ou bande partiellement récoltée (m)</t>
  </si>
  <si>
    <t>Largeur de la zone ou bande non traitée (m)</t>
  </si>
  <si>
    <t>Éclaircies commerciales : traitements admissibles à une aide financière 2016-2017</t>
  </si>
  <si>
    <t>Autres coupes partielles : traitements admissibles à une aide financière 2016-2017</t>
  </si>
  <si>
    <t>5m</t>
  </si>
  <si>
    <t>EXÉCUTION ($/ha)</t>
  </si>
  <si>
    <t>AIDE POUR BOIS DE TRITURATION LIVRÉS SELON LA ZONE DE TARIFICATION</t>
  </si>
  <si>
    <t>AIDE POUR BOIS DE TRITURATION LIVRÉS À UNE AUTRE DESTINATION</t>
  </si>
  <si>
    <t>Réduction zones ou bandes non traitées (%)</t>
  </si>
  <si>
    <r>
      <t>Réduction zones ou bandes non traitées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</si>
  <si>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Opérations manuelles: majoration (%) (EC résineuse seulement)</t>
  </si>
  <si>
    <t>MAJORATIONS EXÉCUTION ($/ha)</t>
  </si>
  <si>
    <t>J'atteste que les renseignements fournis dans ce document afin de calculer l'aide financière sont complets et conformes à la vérité, au meilleur de mes connaissances.</t>
  </si>
  <si>
    <t>PROPORTION DES BOIS FEUILLUS TRANPORTÉS EN LONGUEUR (%)</t>
  </si>
  <si>
    <t>SELON LA PRESCRIPTION, COMPOSITION VISÉE FEUILLUE OU MIXTE FEUILLUE</t>
  </si>
  <si>
    <t>SECTEUR D'INTERVENTION FEUILLUS OU MIXTES À DOMINANCE FEUILLUE</t>
  </si>
  <si>
    <t>01151</t>
  </si>
  <si>
    <t>01152</t>
  </si>
  <si>
    <t>01251</t>
  </si>
  <si>
    <t>01252</t>
  </si>
  <si>
    <t>01253</t>
  </si>
  <si>
    <t>01254</t>
  </si>
  <si>
    <t>02251</t>
  </si>
  <si>
    <t>02351</t>
  </si>
  <si>
    <t>02352</t>
  </si>
  <si>
    <t>02451</t>
  </si>
  <si>
    <t>02452</t>
  </si>
  <si>
    <t>02551</t>
  </si>
  <si>
    <t>02651</t>
  </si>
  <si>
    <t>02661</t>
  </si>
  <si>
    <t>02662</t>
  </si>
  <si>
    <t>02663</t>
  </si>
  <si>
    <t>02664</t>
  </si>
  <si>
    <t>02665</t>
  </si>
  <si>
    <t>02666</t>
  </si>
  <si>
    <t>02751</t>
  </si>
  <si>
    <t>03151</t>
  </si>
  <si>
    <t>03152</t>
  </si>
  <si>
    <t>03153</t>
  </si>
  <si>
    <t>03351</t>
  </si>
  <si>
    <t>03451</t>
  </si>
  <si>
    <t>03453</t>
  </si>
  <si>
    <t>03551</t>
  </si>
  <si>
    <t>04151</t>
  </si>
  <si>
    <t>04251</t>
  </si>
  <si>
    <t>04351</t>
  </si>
  <si>
    <t>04352</t>
  </si>
  <si>
    <t>05151</t>
  </si>
  <si>
    <t>06151</t>
  </si>
  <si>
    <t>06152</t>
  </si>
  <si>
    <t>06251</t>
  </si>
  <si>
    <t>06252</t>
  </si>
  <si>
    <t>06451</t>
  </si>
  <si>
    <t>06452</t>
  </si>
  <si>
    <t>07151</t>
  </si>
  <si>
    <t>07152</t>
  </si>
  <si>
    <t>07251</t>
  </si>
  <si>
    <t>07351</t>
  </si>
  <si>
    <t>07352</t>
  </si>
  <si>
    <t>07451</t>
  </si>
  <si>
    <t>08151</t>
  </si>
  <si>
    <t>08152</t>
  </si>
  <si>
    <t>08251</t>
  </si>
  <si>
    <t>08351</t>
  </si>
  <si>
    <t>08451</t>
  </si>
  <si>
    <t>08462</t>
  </si>
  <si>
    <t>08551</t>
  </si>
  <si>
    <t>08562</t>
  </si>
  <si>
    <t>08651</t>
  </si>
  <si>
    <t>08652</t>
  </si>
  <si>
    <t>08663</t>
  </si>
  <si>
    <t>08664</t>
  </si>
  <si>
    <t>08665</t>
  </si>
  <si>
    <t>08666</t>
  </si>
  <si>
    <t>08751</t>
  </si>
  <si>
    <t>08762</t>
  </si>
  <si>
    <t>08763</t>
  </si>
  <si>
    <t>08764</t>
  </si>
  <si>
    <t>09351</t>
  </si>
  <si>
    <t>09352</t>
  </si>
  <si>
    <t>09451</t>
  </si>
  <si>
    <t>09452</t>
  </si>
  <si>
    <t>09551</t>
  </si>
  <si>
    <t>09751</t>
  </si>
  <si>
    <t>11161</t>
  </si>
  <si>
    <t>11262</t>
  </si>
  <si>
    <t>11263</t>
  </si>
  <si>
    <t>Forme étroite et allongée donnée par une coupe qui traverse toute la largeur ou la longueur d'un peuplement ou d'un secteur d'intervention</t>
  </si>
  <si>
    <t>Note 1 : Une bande peut être coupée totalement, coupée partiellement ou résiduelle (non coupée)</t>
  </si>
  <si>
    <t>Zones :</t>
  </si>
  <si>
    <t>15 m</t>
  </si>
  <si>
    <t>I-----15 m-----I</t>
  </si>
  <si>
    <r>
      <t>Bandes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:</t>
    </r>
  </si>
  <si>
    <r>
      <rPr>
        <sz val="12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Inspiré du glossaire du Guide sylvicole du Québec</t>
    </r>
  </si>
  <si>
    <t>À inscrire dans la feuille de calcul : cellules F16, F17 et F18</t>
  </si>
  <si>
    <t>Considéré comme étant encore un patron d'intervention uniforme</t>
  </si>
  <si>
    <t>Non financé, aucune coupe partielle</t>
  </si>
  <si>
    <t>Bande partiellement récoltée (15m)</t>
  </si>
  <si>
    <t>Bande non traitée (15m)</t>
  </si>
  <si>
    <t>Sentier de débardage (5m)</t>
  </si>
  <si>
    <t>Zone non traitée (5m)</t>
  </si>
  <si>
    <t>Calcul de la réduction</t>
  </si>
  <si>
    <t>Largeur de la zone ou bande entièrement récoltée (m) : 5 mètres</t>
  </si>
  <si>
    <t>Largeur de la zone ou bande partiellement récoltée (m) : 5 mètres</t>
  </si>
  <si>
    <t>Largeur de la zone ou bande non traitée (m) : 5 mètres</t>
  </si>
  <si>
    <t>I--15 m--I</t>
  </si>
  <si>
    <t>5m       5m</t>
  </si>
  <si>
    <t>Bande entièrement récoltée (15m)</t>
  </si>
  <si>
    <t>Remarques</t>
  </si>
  <si>
    <r>
      <t>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cas : Coupe progressive uniforme (avec zones non traitées de moins de 10 mètres de largeur)</t>
    </r>
  </si>
  <si>
    <r>
      <t>2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progressive par bandes (plus de 10 mètres de largeur)</t>
    </r>
  </si>
  <si>
    <t>Largeur de la zone ou bande non traitée (m) : 15 mètres</t>
  </si>
  <si>
    <r>
      <t>3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totale par bandes alternes (plus de 10 mètres de largeur)</t>
    </r>
  </si>
  <si>
    <t>Jardinée / gestion par arbres</t>
  </si>
  <si>
    <t>Définition des termes utilisés dans la feuille de calcul :</t>
  </si>
  <si>
    <t>Coupes partielles : exemples de calculs de réductions pour bandes ou zones non traitées</t>
  </si>
  <si>
    <t>Note 2 : La largeur d'une bande équivaut minimalement à la demi-hauteur d'un arbre mature (généralement, 10 mètres et plus)</t>
  </si>
  <si>
    <t>Même définition que le terme bande à l'exception du non-respect de la largeur minimale (moins de 10 mètres)</t>
  </si>
  <si>
    <t>Résultat : 33% de réduction du taux</t>
  </si>
  <si>
    <t>Résultat : aucune réduction du taux</t>
  </si>
  <si>
    <t>Traitements</t>
  </si>
  <si>
    <t>Structures cibles</t>
  </si>
  <si>
    <t>Compositions</t>
  </si>
  <si>
    <t>Sélections des tiges à récolter</t>
  </si>
  <si>
    <t>Patrons d'intervention</t>
  </si>
  <si>
    <t>Codes DICA</t>
  </si>
  <si>
    <t>Formules à utiliser</t>
  </si>
  <si>
    <r>
      <t>Hébergement : majoration de l'exécution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</si>
  <si>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Opérations manuelles : majoration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</si>
  <si>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Sous-total : exécution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</si>
  <si>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Sous-total : exécution ($/ha)</t>
  </si>
  <si>
    <r>
      <t>Rubannage : espacement entre les sentiers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</si>
</sst>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"/>
    <numFmt numFmtId="166" formatCode="#,##0.00\ &quot;$&quot;"/>
    <numFmt numFmtId="167" formatCode="#,##0.0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i/>
      <sz val="18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rgb="FFB0D236"/>
        <bgColor indexed="64"/>
      </patternFill>
    </fill>
    <fill>
      <patternFill patternType="solid">
        <fgColor rgb="FF04203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125">
        <fgColor theme="7" tint="-0.49998474074526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1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" fontId="7" fillId="3" borderId="14" xfId="0" quotePrefix="1" applyNumberFormat="1" applyFont="1" applyFill="1" applyBorder="1" applyAlignment="1" applyProtection="1">
      <alignment horizontal="center" vertical="center"/>
      <protection hidden="1"/>
    </xf>
    <xf numFmtId="2" fontId="7" fillId="3" borderId="10" xfId="0" applyNumberFormat="1" applyFont="1" applyFill="1" applyBorder="1" applyAlignment="1" applyProtection="1">
      <alignment horizontal="center" vertical="center"/>
      <protection hidden="1"/>
    </xf>
    <xf numFmtId="2" fontId="7" fillId="3" borderId="15" xfId="0" quotePrefix="1" applyNumberFormat="1" applyFont="1" applyFill="1" applyBorder="1" applyAlignment="1" applyProtection="1">
      <alignment horizontal="center" vertical="center"/>
      <protection hidden="1"/>
    </xf>
    <xf numFmtId="2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Protection="1">
      <protection hidden="1"/>
    </xf>
    <xf numFmtId="164" fontId="0" fillId="2" borderId="0" xfId="0" applyNumberFormat="1" applyFill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3" borderId="20" xfId="0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4" borderId="1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4" borderId="0" xfId="0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left" vertical="center"/>
    </xf>
    <xf numFmtId="0" fontId="0" fillId="4" borderId="13" xfId="0" applyFill="1" applyBorder="1" applyAlignment="1" applyProtection="1">
      <alignment vertical="center"/>
    </xf>
    <xf numFmtId="0" fontId="0" fillId="4" borderId="13" xfId="0" applyFont="1" applyFill="1" applyBorder="1" applyProtection="1">
      <protection hidden="1"/>
    </xf>
    <xf numFmtId="0" fontId="0" fillId="4" borderId="20" xfId="0" applyFont="1" applyFill="1" applyBorder="1" applyProtection="1">
      <protection hidden="1"/>
    </xf>
    <xf numFmtId="0" fontId="0" fillId="4" borderId="10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horizontal="left" vertical="center" indent="1"/>
    </xf>
    <xf numFmtId="0" fontId="2" fillId="7" borderId="12" xfId="0" applyFont="1" applyFill="1" applyBorder="1" applyAlignment="1" applyProtection="1">
      <alignment vertical="center"/>
      <protection hidden="1"/>
    </xf>
    <xf numFmtId="0" fontId="7" fillId="7" borderId="13" xfId="0" applyFont="1" applyFill="1" applyBorder="1" applyAlignment="1" applyProtection="1">
      <alignment vertical="center"/>
      <protection hidden="1"/>
    </xf>
    <xf numFmtId="0" fontId="7" fillId="7" borderId="20" xfId="0" applyFont="1" applyFill="1" applyBorder="1" applyAlignment="1" applyProtection="1">
      <alignment vertical="center"/>
      <protection hidden="1"/>
    </xf>
    <xf numFmtId="0" fontId="2" fillId="7" borderId="16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Border="1" applyAlignment="1" applyProtection="1">
      <alignment horizontal="center"/>
      <protection hidden="1"/>
    </xf>
    <xf numFmtId="4" fontId="8" fillId="0" borderId="0" xfId="0" applyNumberFormat="1" applyFont="1" applyFill="1" applyBorder="1" applyAlignment="1" applyProtection="1">
      <alignment horizontal="center"/>
      <protection hidden="1"/>
    </xf>
    <xf numFmtId="0" fontId="0" fillId="4" borderId="44" xfId="0" applyFill="1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45" xfId="0" applyFill="1" applyBorder="1" applyAlignment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49" xfId="0" applyFill="1" applyBorder="1" applyAlignment="1">
      <alignment vertical="center"/>
    </xf>
    <xf numFmtId="0" fontId="0" fillId="4" borderId="5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0" fillId="4" borderId="4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0" xfId="0" applyBorder="1"/>
    <xf numFmtId="0" fontId="0" fillId="8" borderId="56" xfId="0" applyFill="1" applyBorder="1"/>
    <xf numFmtId="0" fontId="0" fillId="9" borderId="54" xfId="0" applyFill="1" applyBorder="1"/>
    <xf numFmtId="0" fontId="0" fillId="8" borderId="57" xfId="0" applyFill="1" applyBorder="1"/>
    <xf numFmtId="0" fontId="0" fillId="10" borderId="54" xfId="0" applyFill="1" applyBorder="1"/>
    <xf numFmtId="0" fontId="0" fillId="10" borderId="53" xfId="0" applyFill="1" applyBorder="1"/>
    <xf numFmtId="0" fontId="0" fillId="10" borderId="55" xfId="0" applyFill="1" applyBorder="1"/>
    <xf numFmtId="0" fontId="0" fillId="9" borderId="0" xfId="0" applyFill="1" applyBorder="1"/>
    <xf numFmtId="0" fontId="0" fillId="10" borderId="0" xfId="0" applyFill="1" applyBorder="1"/>
    <xf numFmtId="0" fontId="0" fillId="10" borderId="56" xfId="0" applyFill="1" applyBorder="1"/>
    <xf numFmtId="0" fontId="0" fillId="10" borderId="57" xfId="0" applyFill="1" applyBorder="1"/>
    <xf numFmtId="0" fontId="0" fillId="9" borderId="59" xfId="0" applyFill="1" applyBorder="1"/>
    <xf numFmtId="0" fontId="0" fillId="10" borderId="59" xfId="0" applyFill="1" applyBorder="1"/>
    <xf numFmtId="0" fontId="0" fillId="10" borderId="58" xfId="0" applyFill="1" applyBorder="1"/>
    <xf numFmtId="0" fontId="0" fillId="10" borderId="60" xfId="0" applyFill="1" applyBorder="1"/>
    <xf numFmtId="0" fontId="0" fillId="8" borderId="58" xfId="0" applyFill="1" applyBorder="1"/>
    <xf numFmtId="0" fontId="0" fillId="8" borderId="59" xfId="0" applyFill="1" applyBorder="1" applyAlignment="1">
      <alignment horizontal="center"/>
    </xf>
    <xf numFmtId="0" fontId="0" fillId="8" borderId="60" xfId="0" applyFill="1" applyBorder="1"/>
    <xf numFmtId="14" fontId="0" fillId="8" borderId="59" xfId="0" quotePrefix="1" applyNumberFormat="1" applyFill="1" applyBorder="1" applyAlignment="1">
      <alignment horizontal="center"/>
    </xf>
    <xf numFmtId="0" fontId="0" fillId="9" borderId="61" xfId="0" applyFill="1" applyBorder="1"/>
    <xf numFmtId="0" fontId="0" fillId="10" borderId="61" xfId="0" applyFill="1" applyBorder="1"/>
    <xf numFmtId="0" fontId="0" fillId="11" borderId="61" xfId="0" applyFill="1" applyBorder="1"/>
    <xf numFmtId="0" fontId="0" fillId="3" borderId="0" xfId="0" applyFill="1" applyBorder="1" applyAlignment="1">
      <alignment horizontal="right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3" fillId="0" borderId="0" xfId="0" applyFont="1"/>
    <xf numFmtId="0" fontId="19" fillId="0" borderId="0" xfId="0" applyFont="1"/>
    <xf numFmtId="0" fontId="23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3" fillId="0" borderId="0" xfId="0" applyFont="1" applyAlignment="1">
      <alignment horizontal="left" vertical="center" wrapText="1"/>
    </xf>
    <xf numFmtId="0" fontId="0" fillId="9" borderId="0" xfId="0" applyFill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20" xfId="0" applyBorder="1"/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23" fillId="0" borderId="0" xfId="0" applyFont="1" applyFill="1" applyBorder="1" applyAlignment="1">
      <alignment vertical="center"/>
    </xf>
    <xf numFmtId="14" fontId="0" fillId="0" borderId="0" xfId="0" quotePrefix="1" applyNumberFormat="1" applyFill="1" applyBorder="1" applyAlignment="1">
      <alignment horizontal="center"/>
    </xf>
    <xf numFmtId="0" fontId="0" fillId="13" borderId="54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right"/>
    </xf>
    <xf numFmtId="0" fontId="0" fillId="13" borderId="59" xfId="0" applyFill="1" applyBorder="1"/>
    <xf numFmtId="0" fontId="0" fillId="13" borderId="61" xfId="0" applyFill="1" applyBorder="1"/>
    <xf numFmtId="0" fontId="29" fillId="13" borderId="0" xfId="0" applyFont="1" applyFill="1" applyBorder="1"/>
    <xf numFmtId="0" fontId="29" fillId="13" borderId="0" xfId="0" applyFont="1" applyFill="1" applyBorder="1" applyAlignment="1">
      <alignment horizontal="right"/>
    </xf>
    <xf numFmtId="0" fontId="0" fillId="4" borderId="38" xfId="0" applyFill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10" xfId="0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horizontal="left" vertical="center" indent="1"/>
    </xf>
    <xf numFmtId="0" fontId="12" fillId="7" borderId="4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166" fontId="8" fillId="4" borderId="0" xfId="0" applyNumberFormat="1" applyFont="1" applyFill="1" applyBorder="1" applyAlignment="1" applyProtection="1">
      <alignment horizontal="center" vertical="center"/>
      <protection hidden="1"/>
    </xf>
    <xf numFmtId="166" fontId="8" fillId="4" borderId="11" xfId="0" applyNumberFormat="1" applyFont="1" applyFill="1" applyBorder="1" applyAlignment="1" applyProtection="1">
      <alignment horizontal="center" vertical="center"/>
      <protection hidden="1"/>
    </xf>
    <xf numFmtId="4" fontId="0" fillId="4" borderId="0" xfId="0" applyNumberFormat="1" applyFont="1" applyFill="1" applyBorder="1" applyAlignment="1" applyProtection="1">
      <alignment horizontal="center" vertical="center"/>
      <protection hidden="1"/>
    </xf>
    <xf numFmtId="4" fontId="0" fillId="4" borderId="11" xfId="0" applyNumberFormat="1" applyFont="1" applyFill="1" applyBorder="1" applyAlignment="1" applyProtection="1">
      <alignment horizontal="center" vertical="center"/>
      <protection hidden="1"/>
    </xf>
    <xf numFmtId="166" fontId="8" fillId="4" borderId="13" xfId="0" applyNumberFormat="1" applyFont="1" applyFill="1" applyBorder="1" applyAlignment="1" applyProtection="1">
      <alignment horizontal="center" vertical="center"/>
      <protection hidden="1"/>
    </xf>
    <xf numFmtId="166" fontId="8" fillId="4" borderId="20" xfId="0" applyNumberFormat="1" applyFont="1" applyFill="1" applyBorder="1" applyAlignment="1" applyProtection="1">
      <alignment horizontal="center" vertical="center"/>
      <protection hidden="1"/>
    </xf>
    <xf numFmtId="9" fontId="0" fillId="4" borderId="0" xfId="0" applyNumberFormat="1" applyFont="1" applyFill="1" applyBorder="1" applyAlignment="1" applyProtection="1">
      <alignment horizontal="center" vertical="center"/>
      <protection hidden="1"/>
    </xf>
    <xf numFmtId="9" fontId="0" fillId="4" borderId="11" xfId="0" applyNumberFormat="1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left" vertical="center" indent="1"/>
    </xf>
    <xf numFmtId="0" fontId="0" fillId="3" borderId="10" xfId="0" applyFill="1" applyBorder="1" applyAlignment="1" applyProtection="1">
      <alignment horizontal="left" vertical="center" wrapText="1" indent="1"/>
    </xf>
    <xf numFmtId="0" fontId="0" fillId="3" borderId="0" xfId="0" applyFill="1" applyBorder="1" applyAlignment="1" applyProtection="1">
      <alignment horizontal="left" vertical="center" wrapText="1" indent="1"/>
    </xf>
    <xf numFmtId="0" fontId="0" fillId="3" borderId="11" xfId="0" applyFill="1" applyBorder="1" applyAlignment="1" applyProtection="1">
      <alignment horizontal="left" vertical="center" wrapText="1" indent="1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</xf>
    <xf numFmtId="166" fontId="0" fillId="4" borderId="0" xfId="0" applyNumberFormat="1" applyFont="1" applyFill="1" applyBorder="1" applyAlignment="1" applyProtection="1">
      <alignment horizontal="center" vertical="center"/>
      <protection hidden="1"/>
    </xf>
    <xf numFmtId="166" fontId="0" fillId="4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horizontal="left" vertical="center" indent="1"/>
    </xf>
    <xf numFmtId="0" fontId="6" fillId="3" borderId="11" xfId="0" applyFont="1" applyFill="1" applyBorder="1" applyAlignment="1" applyProtection="1">
      <alignment horizontal="left" vertical="center" indent="1"/>
    </xf>
    <xf numFmtId="0" fontId="6" fillId="3" borderId="12" xfId="0" applyFont="1" applyFill="1" applyBorder="1" applyAlignment="1" applyProtection="1">
      <alignment horizontal="left" vertical="center" indent="1"/>
    </xf>
    <xf numFmtId="0" fontId="6" fillId="3" borderId="13" xfId="0" applyFont="1" applyFill="1" applyBorder="1" applyAlignment="1" applyProtection="1">
      <alignment horizontal="left" vertical="center" indent="1"/>
    </xf>
    <xf numFmtId="0" fontId="6" fillId="3" borderId="20" xfId="0" applyFont="1" applyFill="1" applyBorder="1" applyAlignment="1" applyProtection="1">
      <alignment horizontal="left" vertical="center" indent="1"/>
    </xf>
    <xf numFmtId="4" fontId="0" fillId="0" borderId="1" xfId="0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4" fontId="0" fillId="0" borderId="2" xfId="0" applyNumberFormat="1" applyFill="1" applyBorder="1" applyAlignment="1" applyProtection="1">
      <alignment horizontal="center" vertical="center"/>
      <protection hidden="1"/>
    </xf>
    <xf numFmtId="4" fontId="0" fillId="0" borderId="21" xfId="0" applyNumberFormat="1" applyFill="1" applyBorder="1" applyAlignment="1" applyProtection="1">
      <alignment horizontal="center" vertical="center"/>
      <protection hidden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11" xfId="0" applyFont="1" applyFill="1" applyBorder="1" applyAlignment="1" applyProtection="1">
      <alignment horizontal="left" vertical="center"/>
    </xf>
    <xf numFmtId="0" fontId="14" fillId="3" borderId="22" xfId="0" applyFont="1" applyFill="1" applyBorder="1" applyAlignment="1" applyProtection="1">
      <alignment horizontal="left" vertical="center"/>
    </xf>
    <xf numFmtId="0" fontId="14" fillId="3" borderId="24" xfId="0" applyFon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 indent="1"/>
    </xf>
    <xf numFmtId="0" fontId="0" fillId="3" borderId="8" xfId="0" applyFill="1" applyBorder="1" applyAlignment="1" applyProtection="1">
      <alignment horizontal="left" vertical="center" indent="1"/>
    </xf>
    <xf numFmtId="0" fontId="0" fillId="3" borderId="9" xfId="0" applyFill="1" applyBorder="1" applyAlignment="1" applyProtection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3" borderId="12" xfId="0" applyFont="1" applyFill="1" applyBorder="1" applyAlignment="1" applyProtection="1">
      <alignment horizontal="left" vertical="center" indent="1"/>
    </xf>
    <xf numFmtId="0" fontId="0" fillId="3" borderId="13" xfId="0" applyFont="1" applyFill="1" applyBorder="1" applyAlignment="1" applyProtection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3" borderId="62" xfId="0" applyFont="1" applyFill="1" applyBorder="1" applyAlignment="1" applyProtection="1">
      <alignment horizontal="left" vertical="center" wrapText="1" indent="1"/>
    </xf>
    <xf numFmtId="0" fontId="0" fillId="3" borderId="63" xfId="0" applyFont="1" applyFill="1" applyBorder="1" applyAlignment="1" applyProtection="1">
      <alignment horizontal="left" vertical="center" wrapText="1" indent="1"/>
    </xf>
    <xf numFmtId="0" fontId="0" fillId="3" borderId="64" xfId="0" applyFont="1" applyFill="1" applyBorder="1" applyAlignment="1" applyProtection="1">
      <alignment horizontal="left" vertical="center" wrapText="1" indent="1"/>
    </xf>
    <xf numFmtId="0" fontId="0" fillId="3" borderId="10" xfId="0" applyFont="1" applyFill="1" applyBorder="1" applyAlignment="1" applyProtection="1">
      <alignment horizontal="left" vertical="center" wrapText="1" indent="1"/>
    </xf>
    <xf numFmtId="0" fontId="0" fillId="3" borderId="0" xfId="0" applyFont="1" applyFill="1" applyBorder="1" applyAlignment="1" applyProtection="1">
      <alignment horizontal="left" vertical="center" wrapText="1" indent="1"/>
    </xf>
    <xf numFmtId="0" fontId="0" fillId="3" borderId="11" xfId="0" applyFont="1" applyFill="1" applyBorder="1" applyAlignment="1" applyProtection="1">
      <alignment horizontal="left" vertical="center" wrapText="1" indent="1"/>
    </xf>
    <xf numFmtId="0" fontId="0" fillId="3" borderId="12" xfId="0" applyFill="1" applyBorder="1" applyAlignment="1" applyProtection="1">
      <alignment horizontal="left" vertical="center" wrapText="1" indent="1"/>
    </xf>
    <xf numFmtId="0" fontId="0" fillId="3" borderId="13" xfId="0" applyFill="1" applyBorder="1" applyAlignment="1" applyProtection="1">
      <alignment horizontal="left" vertical="center" wrapText="1" indent="1"/>
    </xf>
    <xf numFmtId="0" fontId="0" fillId="3" borderId="20" xfId="0" applyFill="1" applyBorder="1" applyAlignment="1" applyProtection="1">
      <alignment horizontal="left" vertical="center" wrapText="1" indent="1"/>
    </xf>
    <xf numFmtId="9" fontId="0" fillId="0" borderId="1" xfId="0" quotePrefix="1" applyNumberFormat="1" applyFont="1" applyFill="1" applyBorder="1" applyAlignment="1" applyProtection="1">
      <alignment horizontal="center" vertical="center"/>
      <protection hidden="1"/>
    </xf>
    <xf numFmtId="2" fontId="0" fillId="5" borderId="0" xfId="0" applyNumberFormat="1" applyFon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 applyProtection="1">
      <alignment horizontal="center" vertical="center"/>
      <protection locked="0"/>
    </xf>
    <xf numFmtId="2" fontId="8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4" fontId="8" fillId="0" borderId="2" xfId="0" applyNumberFormat="1" applyFont="1" applyFill="1" applyBorder="1" applyAlignment="1" applyProtection="1">
      <alignment horizontal="center"/>
      <protection hidden="1"/>
    </xf>
    <xf numFmtId="4" fontId="8" fillId="0" borderId="18" xfId="0" applyNumberFormat="1" applyFont="1" applyFill="1" applyBorder="1" applyAlignment="1" applyProtection="1">
      <alignment horizontal="center"/>
      <protection hidden="1"/>
    </xf>
    <xf numFmtId="4" fontId="0" fillId="0" borderId="2" xfId="0" applyNumberFormat="1" applyFont="1" applyFill="1" applyBorder="1" applyAlignment="1" applyProtection="1">
      <alignment horizontal="center"/>
      <protection hidden="1"/>
    </xf>
    <xf numFmtId="4" fontId="0" fillId="0" borderId="18" xfId="0" applyNumberFormat="1" applyFont="1" applyFill="1" applyBorder="1" applyAlignment="1" applyProtection="1">
      <alignment horizontal="center"/>
      <protection hidden="1"/>
    </xf>
    <xf numFmtId="4" fontId="0" fillId="0" borderId="27" xfId="0" applyNumberFormat="1" applyFont="1" applyFill="1" applyBorder="1" applyAlignment="1" applyProtection="1">
      <alignment horizontal="center"/>
      <protection hidden="1"/>
    </xf>
    <xf numFmtId="4" fontId="0" fillId="0" borderId="21" xfId="0" applyNumberFormat="1" applyFont="1" applyFill="1" applyBorder="1" applyAlignment="1" applyProtection="1">
      <alignment horizontal="center" wrapText="1"/>
      <protection hidden="1"/>
    </xf>
    <xf numFmtId="4" fontId="0" fillId="0" borderId="18" xfId="0" applyNumberFormat="1" applyFont="1" applyFill="1" applyBorder="1" applyAlignment="1" applyProtection="1">
      <alignment horizontal="center" wrapText="1"/>
      <protection hidden="1"/>
    </xf>
    <xf numFmtId="4" fontId="0" fillId="0" borderId="2" xfId="0" applyNumberFormat="1" applyFont="1" applyFill="1" applyBorder="1" applyAlignment="1" applyProtection="1">
      <alignment horizontal="center" wrapText="1"/>
      <protection hidden="1"/>
    </xf>
    <xf numFmtId="4" fontId="0" fillId="0" borderId="25" xfId="0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vertical="center"/>
      <protection locked="0"/>
    </xf>
    <xf numFmtId="164" fontId="7" fillId="4" borderId="17" xfId="1" applyNumberFormat="1" applyFont="1" applyFill="1" applyBorder="1" applyAlignment="1" applyProtection="1">
      <alignment horizontal="center" vertical="center"/>
      <protection locked="0"/>
    </xf>
    <xf numFmtId="4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165" fontId="0" fillId="4" borderId="25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42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left" vertical="center" wrapText="1" indent="1"/>
    </xf>
    <xf numFmtId="0" fontId="13" fillId="3" borderId="12" xfId="0" applyFont="1" applyFill="1" applyBorder="1" applyAlignment="1" applyProtection="1">
      <alignment horizontal="left" vertical="center" wrapText="1" indent="1"/>
    </xf>
    <xf numFmtId="0" fontId="0" fillId="4" borderId="29" xfId="0" applyFont="1" applyFill="1" applyBorder="1" applyAlignment="1" applyProtection="1">
      <alignment horizontal="center" vertical="center" wrapText="1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9" fontId="0" fillId="0" borderId="1" xfId="0" applyNumberForma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17" fillId="4" borderId="7" xfId="0" applyFont="1" applyFill="1" applyBorder="1" applyAlignment="1" applyProtection="1">
      <alignment horizontal="left" wrapText="1" indent="1"/>
      <protection hidden="1"/>
    </xf>
    <xf numFmtId="0" fontId="17" fillId="4" borderId="8" xfId="0" applyFont="1" applyFill="1" applyBorder="1" applyAlignment="1" applyProtection="1">
      <alignment horizontal="left" wrapText="1" indent="1"/>
      <protection hidden="1"/>
    </xf>
    <xf numFmtId="0" fontId="17" fillId="4" borderId="9" xfId="0" applyFont="1" applyFill="1" applyBorder="1" applyAlignment="1" applyProtection="1">
      <alignment horizontal="left" wrapText="1" indent="1"/>
      <protection hidden="1"/>
    </xf>
    <xf numFmtId="0" fontId="17" fillId="4" borderId="10" xfId="0" applyFont="1" applyFill="1" applyBorder="1" applyAlignment="1" applyProtection="1">
      <alignment horizontal="left" wrapText="1" indent="1"/>
      <protection hidden="1"/>
    </xf>
    <xf numFmtId="0" fontId="17" fillId="4" borderId="0" xfId="0" applyFont="1" applyFill="1" applyBorder="1" applyAlignment="1" applyProtection="1">
      <alignment horizontal="left" wrapText="1" indent="1"/>
      <protection hidden="1"/>
    </xf>
    <xf numFmtId="0" fontId="17" fillId="4" borderId="11" xfId="0" applyFont="1" applyFill="1" applyBorder="1" applyAlignment="1" applyProtection="1">
      <alignment horizontal="left" wrapText="1" indent="1"/>
      <protection hidden="1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left" vertical="center"/>
    </xf>
    <xf numFmtId="0" fontId="15" fillId="4" borderId="16" xfId="0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>
      <alignment horizontal="left" vertical="center"/>
    </xf>
    <xf numFmtId="167" fontId="7" fillId="4" borderId="36" xfId="0" applyNumberFormat="1" applyFont="1" applyFill="1" applyBorder="1" applyAlignment="1" applyProtection="1">
      <alignment horizontal="center" vertical="center" wrapText="1"/>
      <protection locked="0"/>
    </xf>
    <xf numFmtId="167" fontId="0" fillId="4" borderId="37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35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left" vertical="center" indent="1"/>
      <protection hidden="1"/>
    </xf>
    <xf numFmtId="0" fontId="0" fillId="3" borderId="13" xfId="0" applyFill="1" applyBorder="1" applyAlignment="1" applyProtection="1">
      <alignment horizontal="left" vertical="center" indent="1"/>
      <protection hidden="1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left" vertical="center" indent="1"/>
      <protection hidden="1"/>
    </xf>
    <xf numFmtId="0" fontId="0" fillId="3" borderId="0" xfId="0" applyFill="1" applyBorder="1" applyAlignment="1" applyProtection="1">
      <alignment horizontal="left" vertical="center" indent="1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12" fillId="7" borderId="4" xfId="0" applyFont="1" applyFill="1" applyBorder="1" applyAlignment="1" applyProtection="1">
      <alignment horizontal="center" vertical="center" wrapText="1"/>
      <protection hidden="1"/>
    </xf>
    <xf numFmtId="0" fontId="12" fillId="7" borderId="16" xfId="0" applyFont="1" applyFill="1" applyBorder="1" applyAlignment="1" applyProtection="1">
      <alignment horizontal="center" vertical="center" wrapText="1"/>
      <protection hidden="1"/>
    </xf>
    <xf numFmtId="0" fontId="12" fillId="7" borderId="5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 indent="1"/>
      <protection hidden="1"/>
    </xf>
    <xf numFmtId="0" fontId="0" fillId="3" borderId="8" xfId="0" applyFill="1" applyBorder="1" applyAlignment="1" applyProtection="1">
      <alignment horizontal="left" vertical="center" indent="1"/>
      <protection hidden="1"/>
    </xf>
    <xf numFmtId="0" fontId="15" fillId="4" borderId="10" xfId="0" applyFont="1" applyFill="1" applyBorder="1" applyAlignment="1" applyProtection="1">
      <alignment horizontal="left" vertical="center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15" fillId="4" borderId="11" xfId="0" applyFont="1" applyFill="1" applyBorder="1" applyAlignment="1" applyProtection="1">
      <alignment horizontal="left" vertical="center"/>
      <protection hidden="1"/>
    </xf>
    <xf numFmtId="49" fontId="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horizontal="left" vertical="center" indent="2"/>
      <protection hidden="1"/>
    </xf>
    <xf numFmtId="1" fontId="7" fillId="4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indent="2"/>
      <protection hidden="1"/>
    </xf>
    <xf numFmtId="9" fontId="0" fillId="0" borderId="18" xfId="0" applyNumberFormat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left" vertical="center" indent="1"/>
      <protection hidden="1"/>
    </xf>
    <xf numFmtId="0" fontId="0" fillId="3" borderId="0" xfId="0" applyFont="1" applyFill="1" applyBorder="1" applyAlignment="1" applyProtection="1">
      <alignment horizontal="left" vertical="center" indent="1"/>
      <protection hidden="1"/>
    </xf>
    <xf numFmtId="0" fontId="0" fillId="3" borderId="11" xfId="0" applyFont="1" applyFill="1" applyBorder="1" applyAlignment="1" applyProtection="1">
      <alignment horizontal="left" vertical="center" indent="1"/>
      <protection hidden="1"/>
    </xf>
    <xf numFmtId="0" fontId="0" fillId="3" borderId="12" xfId="0" applyFont="1" applyFill="1" applyBorder="1" applyAlignment="1" applyProtection="1">
      <alignment horizontal="left" vertical="center" indent="1"/>
      <protection hidden="1"/>
    </xf>
    <xf numFmtId="0" fontId="0" fillId="3" borderId="13" xfId="0" applyFont="1" applyFill="1" applyBorder="1" applyAlignment="1" applyProtection="1">
      <alignment horizontal="left" vertical="center" indent="1"/>
      <protection hidden="1"/>
    </xf>
    <xf numFmtId="0" fontId="0" fillId="3" borderId="20" xfId="0" applyFont="1" applyFill="1" applyBorder="1" applyAlignment="1" applyProtection="1">
      <alignment horizontal="left" vertical="center" indent="1"/>
      <protection hidden="1"/>
    </xf>
    <xf numFmtId="166" fontId="16" fillId="4" borderId="27" xfId="0" applyNumberFormat="1" applyFont="1" applyFill="1" applyBorder="1" applyAlignment="1" applyProtection="1">
      <alignment horizontal="center" vertical="center" wrapText="1"/>
      <protection hidden="1"/>
    </xf>
    <xf numFmtId="166" fontId="1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left" vertical="center" indent="3"/>
      <protection hidden="1"/>
    </xf>
    <xf numFmtId="0" fontId="8" fillId="3" borderId="0" xfId="0" applyFont="1" applyFill="1" applyBorder="1" applyAlignment="1" applyProtection="1">
      <alignment horizontal="left" vertical="center" indent="3"/>
      <protection hidden="1"/>
    </xf>
    <xf numFmtId="0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left" vertical="center" indent="2"/>
      <protection hidden="1"/>
    </xf>
    <xf numFmtId="166" fontId="16" fillId="4" borderId="34" xfId="0" applyNumberFormat="1" applyFont="1" applyFill="1" applyBorder="1" applyAlignment="1" applyProtection="1">
      <alignment horizontal="center" vertical="center" wrapText="1"/>
      <protection hidden="1"/>
    </xf>
    <xf numFmtId="166" fontId="16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167" fontId="0" fillId="0" borderId="18" xfId="0" applyNumberFormat="1" applyBorder="1" applyAlignment="1" applyProtection="1">
      <alignment horizontal="center" vertical="center" wrapText="1"/>
      <protection locked="0"/>
    </xf>
    <xf numFmtId="166" fontId="8" fillId="0" borderId="18" xfId="0" applyNumberFormat="1" applyFont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 indent="4"/>
      <protection hidden="1"/>
    </xf>
    <xf numFmtId="0" fontId="8" fillId="3" borderId="0" xfId="0" applyFont="1" applyFill="1" applyBorder="1" applyAlignment="1" applyProtection="1">
      <alignment horizontal="left" vertical="center" wrapText="1" indent="4"/>
      <protection hidden="1"/>
    </xf>
    <xf numFmtId="0" fontId="8" fillId="3" borderId="11" xfId="0" applyFont="1" applyFill="1" applyBorder="1" applyAlignment="1" applyProtection="1">
      <alignment horizontal="left" vertical="center" wrapText="1" indent="4"/>
      <protection hidden="1"/>
    </xf>
    <xf numFmtId="0" fontId="8" fillId="3" borderId="12" xfId="0" applyFont="1" applyFill="1" applyBorder="1" applyAlignment="1" applyProtection="1">
      <alignment horizontal="left" vertical="center" indent="3"/>
      <protection hidden="1"/>
    </xf>
    <xf numFmtId="0" fontId="8" fillId="3" borderId="13" xfId="0" applyFont="1" applyFill="1" applyBorder="1" applyAlignment="1" applyProtection="1">
      <alignment horizontal="left" vertical="center" indent="3"/>
      <protection hidden="1"/>
    </xf>
    <xf numFmtId="0" fontId="0" fillId="3" borderId="7" xfId="0" applyFont="1" applyFill="1" applyBorder="1" applyAlignment="1" applyProtection="1">
      <alignment horizontal="left" vertical="center" indent="1"/>
      <protection hidden="1"/>
    </xf>
    <xf numFmtId="0" fontId="0" fillId="0" borderId="8" xfId="0" applyFont="1" applyBorder="1" applyAlignment="1" applyProtection="1">
      <alignment horizontal="left" vertical="center" indent="1"/>
      <protection hidden="1"/>
    </xf>
    <xf numFmtId="0" fontId="0" fillId="0" borderId="9" xfId="0" applyFont="1" applyBorder="1" applyAlignment="1" applyProtection="1">
      <alignment horizontal="left" vertical="center" indent="1"/>
      <protection hidden="1"/>
    </xf>
    <xf numFmtId="4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" fontId="7" fillId="4" borderId="3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 indent="1"/>
      <protection hidden="1"/>
    </xf>
    <xf numFmtId="0" fontId="0" fillId="3" borderId="11" xfId="0" applyFill="1" applyBorder="1" applyAlignment="1" applyProtection="1">
      <alignment horizontal="left" vertical="center" indent="1"/>
      <protection hidden="1"/>
    </xf>
    <xf numFmtId="165" fontId="0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left" vertical="center" indent="1"/>
      <protection hidden="1"/>
    </xf>
    <xf numFmtId="2" fontId="0" fillId="5" borderId="10" xfId="0" applyNumberFormat="1" applyFont="1" applyFill="1" applyBorder="1" applyAlignment="1" applyProtection="1">
      <alignment horizontal="center" vertical="center"/>
      <protection hidden="1"/>
    </xf>
    <xf numFmtId="2" fontId="0" fillId="5" borderId="11" xfId="0" applyNumberFormat="1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left" vertical="center" indent="3"/>
      <protection hidden="1"/>
    </xf>
    <xf numFmtId="0" fontId="0" fillId="0" borderId="0" xfId="0" applyFont="1" applyBorder="1" applyAlignment="1" applyProtection="1">
      <alignment horizontal="left" vertical="center" indent="1"/>
      <protection hidden="1"/>
    </xf>
    <xf numFmtId="0" fontId="0" fillId="0" borderId="11" xfId="0" applyFont="1" applyBorder="1" applyAlignment="1" applyProtection="1">
      <alignment horizontal="left" vertical="center" indent="1"/>
      <protection hidden="1"/>
    </xf>
    <xf numFmtId="2" fontId="0" fillId="5" borderId="35" xfId="0" applyNumberFormat="1" applyFont="1" applyFill="1" applyBorder="1" applyAlignment="1" applyProtection="1">
      <alignment horizontal="center" vertical="center"/>
      <protection hidden="1"/>
    </xf>
    <xf numFmtId="2" fontId="0" fillId="5" borderId="30" xfId="0" applyNumberFormat="1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left" vertical="center"/>
      <protection hidden="1"/>
    </xf>
    <xf numFmtId="0" fontId="15" fillId="4" borderId="16" xfId="0" applyFont="1" applyFill="1" applyBorder="1" applyAlignment="1" applyProtection="1">
      <alignment horizontal="left" vertical="center"/>
      <protection hidden="1"/>
    </xf>
    <xf numFmtId="0" fontId="15" fillId="4" borderId="5" xfId="0" applyFont="1" applyFill="1" applyBorder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left" vertical="center" wrapText="1" indent="4"/>
      <protection hidden="1"/>
    </xf>
    <xf numFmtId="0" fontId="8" fillId="3" borderId="13" xfId="0" applyFont="1" applyFill="1" applyBorder="1" applyAlignment="1" applyProtection="1">
      <alignment horizontal="left" vertical="center" wrapText="1" indent="4"/>
      <protection hidden="1"/>
    </xf>
    <xf numFmtId="0" fontId="8" fillId="3" borderId="20" xfId="0" applyFont="1" applyFill="1" applyBorder="1" applyAlignment="1" applyProtection="1">
      <alignment horizontal="left" vertical="center" wrapText="1" indent="4"/>
      <protection hidden="1"/>
    </xf>
    <xf numFmtId="168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8" xfId="0" applyNumberFormat="1" applyBorder="1" applyAlignment="1" applyProtection="1">
      <alignment horizontal="center" vertical="center" wrapText="1"/>
      <protection locked="0"/>
    </xf>
    <xf numFmtId="166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166" fontId="8" fillId="0" borderId="19" xfId="0" applyNumberFormat="1" applyFont="1" applyBorder="1" applyAlignment="1" applyProtection="1">
      <alignment horizontal="center" vertical="center" wrapText="1"/>
      <protection hidden="1"/>
    </xf>
    <xf numFmtId="166" fontId="16" fillId="4" borderId="38" xfId="0" applyNumberFormat="1" applyFont="1" applyFill="1" applyBorder="1" applyAlignment="1" applyProtection="1">
      <alignment horizontal="center" vertical="center" wrapText="1"/>
      <protection hidden="1"/>
    </xf>
    <xf numFmtId="166" fontId="8" fillId="0" borderId="39" xfId="0" applyNumberFormat="1" applyFont="1" applyBorder="1" applyAlignment="1" applyProtection="1">
      <alignment horizontal="center" vertical="center" wrapText="1"/>
      <protection hidden="1"/>
    </xf>
    <xf numFmtId="9" fontId="7" fillId="4" borderId="27" xfId="0" applyNumberFormat="1" applyFont="1" applyFill="1" applyBorder="1" applyAlignment="1" applyProtection="1">
      <alignment horizontal="center" vertical="center" wrapText="1"/>
      <protection hidden="1"/>
    </xf>
    <xf numFmtId="9" fontId="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0" fontId="0" fillId="4" borderId="44" xfId="0" quotePrefix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0" fillId="4" borderId="45" xfId="0" quotePrefix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14" fontId="0" fillId="8" borderId="67" xfId="0" quotePrefix="1" applyNumberFormat="1" applyFill="1" applyBorder="1" applyAlignment="1">
      <alignment horizontal="center"/>
    </xf>
    <xf numFmtId="0" fontId="0" fillId="8" borderId="67" xfId="0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0" fontId="27" fillId="0" borderId="0" xfId="0" applyFont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8" borderId="53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20" fillId="8" borderId="55" xfId="0" applyFont="1" applyFill="1" applyBorder="1" applyAlignment="1">
      <alignment horizontal="center" vertical="center"/>
    </xf>
    <xf numFmtId="0" fontId="0" fillId="9" borderId="65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10" borderId="66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14" fillId="0" borderId="68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41" xfId="0" applyFont="1" applyFill="1" applyBorder="1" applyAlignment="1" applyProtection="1">
      <alignment horizontal="left" vertical="center" wrapText="1"/>
    </xf>
    <xf numFmtId="0" fontId="14" fillId="0" borderId="69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7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right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29" fillId="13" borderId="0" xfId="0" applyFont="1" applyFill="1" applyBorder="1" applyAlignment="1">
      <alignment horizontal="right"/>
    </xf>
    <xf numFmtId="0" fontId="30" fillId="0" borderId="6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B0D236"/>
      <color rgb="FF04203A"/>
      <color rgb="FF042442"/>
      <color rgb="FF053150"/>
      <color rgb="FF053158"/>
      <color rgb="FF336699"/>
      <color rgb="FF0033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203207</xdr:colOff>
      <xdr:row>1</xdr:row>
      <xdr:rowOff>9312</xdr:rowOff>
    </xdr:from>
    <xdr:to>
      <xdr:col>6</xdr:col>
      <xdr:colOff>685804</xdr:colOff>
      <xdr:row>2</xdr:row>
      <xdr:rowOff>8845</xdr:rowOff>
    </xdr:to>
    <xdr:pic>
      <xdr:nvPicPr>
        <xdr:cNvPr id="9" name="Image 8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2446874" y="127845"/>
          <a:ext cx="3759197" cy="1278000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</xdr:row>
      <xdr:rowOff>736018</xdr:rowOff>
    </xdr:from>
    <xdr:to>
      <xdr:col>7</xdr:col>
      <xdr:colOff>66885</xdr:colOff>
      <xdr:row>1</xdr:row>
      <xdr:rowOff>1214968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05"/>
        <a:stretch>
          <a:fillRect/>
        </a:stretch>
      </xdr:blipFill>
      <xdr:spPr bwMode="auto">
        <a:xfrm>
          <a:off x="4665133" y="854551"/>
          <a:ext cx="1480819" cy="4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364072</xdr:colOff>
      <xdr:row>1</xdr:row>
      <xdr:rowOff>8465</xdr:rowOff>
    </xdr:from>
    <xdr:to>
      <xdr:col>6</xdr:col>
      <xdr:colOff>726198</xdr:colOff>
      <xdr:row>2</xdr:row>
      <xdr:rowOff>7998</xdr:rowOff>
    </xdr:to>
    <xdr:pic>
      <xdr:nvPicPr>
        <xdr:cNvPr id="3" name="Image 2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2650072" y="126998"/>
          <a:ext cx="3554059" cy="1278000"/>
        </a:xfrm>
        <a:prstGeom prst="rect">
          <a:avLst/>
        </a:prstGeom>
      </xdr:spPr>
    </xdr:pic>
    <xdr:clientData/>
  </xdr:twoCellAnchor>
  <xdr:twoCellAnchor>
    <xdr:from>
      <xdr:col>5</xdr:col>
      <xdr:colOff>84667</xdr:colOff>
      <xdr:row>1</xdr:row>
      <xdr:rowOff>778933</xdr:rowOff>
    </xdr:from>
    <xdr:to>
      <xdr:col>7</xdr:col>
      <xdr:colOff>75352</xdr:colOff>
      <xdr:row>1</xdr:row>
      <xdr:rowOff>1257883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05"/>
        <a:stretch>
          <a:fillRect/>
        </a:stretch>
      </xdr:blipFill>
      <xdr:spPr bwMode="auto">
        <a:xfrm>
          <a:off x="4673600" y="897466"/>
          <a:ext cx="1480819" cy="4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223732</xdr:colOff>
      <xdr:row>12</xdr:row>
      <xdr:rowOff>0</xdr:rowOff>
    </xdr:from>
    <xdr:to>
      <xdr:col>3</xdr:col>
      <xdr:colOff>385732</xdr:colOff>
      <xdr:row>28</xdr:row>
      <xdr:rowOff>180720</xdr:rowOff>
    </xdr:to>
    <xdr:sp macro="" textlink="">
      <xdr:nvSpPr>
        <xdr:cNvPr id="26" name="Rectangle 25"/>
        <xdr:cNvSpPr/>
      </xdr:nvSpPr>
      <xdr:spPr>
        <a:xfrm>
          <a:off x="1214332" y="2743200"/>
          <a:ext cx="162000" cy="3733545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215265</xdr:colOff>
      <xdr:row>12</xdr:row>
      <xdr:rowOff>0</xdr:rowOff>
    </xdr:from>
    <xdr:to>
      <xdr:col>5</xdr:col>
      <xdr:colOff>377265</xdr:colOff>
      <xdr:row>28</xdr:row>
      <xdr:rowOff>180720</xdr:rowOff>
    </xdr:to>
    <xdr:sp macro="" textlink="">
      <xdr:nvSpPr>
        <xdr:cNvPr id="27" name="Rectangle 26"/>
        <xdr:cNvSpPr/>
      </xdr:nvSpPr>
      <xdr:spPr>
        <a:xfrm>
          <a:off x="2063115" y="2743200"/>
          <a:ext cx="162000" cy="3733545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223732</xdr:colOff>
      <xdr:row>12</xdr:row>
      <xdr:rowOff>0</xdr:rowOff>
    </xdr:from>
    <xdr:to>
      <xdr:col>7</xdr:col>
      <xdr:colOff>385732</xdr:colOff>
      <xdr:row>28</xdr:row>
      <xdr:rowOff>180720</xdr:rowOff>
    </xdr:to>
    <xdr:sp macro="" textlink="">
      <xdr:nvSpPr>
        <xdr:cNvPr id="28" name="Rectangle 27"/>
        <xdr:cNvSpPr/>
      </xdr:nvSpPr>
      <xdr:spPr>
        <a:xfrm>
          <a:off x="2928832" y="2743200"/>
          <a:ext cx="162000" cy="3733545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31</xdr:col>
      <xdr:colOff>1</xdr:colOff>
      <xdr:row>23</xdr:row>
      <xdr:rowOff>171450</xdr:rowOff>
    </xdr:from>
    <xdr:to>
      <xdr:col>47</xdr:col>
      <xdr:colOff>85725</xdr:colOff>
      <xdr:row>35</xdr:row>
      <xdr:rowOff>18103</xdr:rowOff>
    </xdr:to>
    <xdr:cxnSp macro="">
      <xdr:nvCxnSpPr>
        <xdr:cNvPr id="15" name="Connecteur en arc 14"/>
        <xdr:cNvCxnSpPr/>
      </xdr:nvCxnSpPr>
      <xdr:spPr>
        <a:xfrm flipV="1">
          <a:off x="10972801" y="5562600"/>
          <a:ext cx="5067299" cy="2256478"/>
        </a:xfrm>
        <a:prstGeom prst="curvedConnector3">
          <a:avLst>
            <a:gd name="adj1" fmla="val 10319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495304</xdr:colOff>
      <xdr:row>24</xdr:row>
      <xdr:rowOff>47625</xdr:rowOff>
    </xdr:from>
    <xdr:to>
      <xdr:col>26</xdr:col>
      <xdr:colOff>4</xdr:colOff>
      <xdr:row>35</xdr:row>
      <xdr:rowOff>63065</xdr:rowOff>
    </xdr:to>
    <xdr:cxnSp macro="">
      <xdr:nvCxnSpPr>
        <xdr:cNvPr id="42" name="Connecteur en arc 41"/>
        <xdr:cNvCxnSpPr/>
      </xdr:nvCxnSpPr>
      <xdr:spPr>
        <a:xfrm rot="10800000">
          <a:off x="6629404" y="5619750"/>
          <a:ext cx="2466975" cy="2244290"/>
        </a:xfrm>
        <a:prstGeom prst="curvedConnector3">
          <a:avLst>
            <a:gd name="adj1" fmla="val 107143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12</xdr:row>
      <xdr:rowOff>0</xdr:rowOff>
    </xdr:from>
    <xdr:to>
      <xdr:col>26</xdr:col>
      <xdr:colOff>302262</xdr:colOff>
      <xdr:row>28</xdr:row>
      <xdr:rowOff>189187</xdr:rowOff>
    </xdr:to>
    <xdr:sp macro="" textlink="">
      <xdr:nvSpPr>
        <xdr:cNvPr id="13" name="Rectangle 12"/>
        <xdr:cNvSpPr/>
      </xdr:nvSpPr>
      <xdr:spPr>
        <a:xfrm>
          <a:off x="9914467" y="2844800"/>
          <a:ext cx="276862" cy="3779054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12</xdr:row>
      <xdr:rowOff>0</xdr:rowOff>
    </xdr:from>
    <xdr:to>
      <xdr:col>31</xdr:col>
      <xdr:colOff>149862</xdr:colOff>
      <xdr:row>28</xdr:row>
      <xdr:rowOff>189187</xdr:rowOff>
    </xdr:to>
    <xdr:sp macro="" textlink="">
      <xdr:nvSpPr>
        <xdr:cNvPr id="14" name="Rectangle 13"/>
        <xdr:cNvSpPr/>
      </xdr:nvSpPr>
      <xdr:spPr>
        <a:xfrm>
          <a:off x="11650133" y="2844800"/>
          <a:ext cx="276862" cy="3779054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26</xdr:col>
      <xdr:colOff>25400</xdr:colOff>
      <xdr:row>40</xdr:row>
      <xdr:rowOff>0</xdr:rowOff>
    </xdr:from>
    <xdr:to>
      <xdr:col>26</xdr:col>
      <xdr:colOff>302262</xdr:colOff>
      <xdr:row>56</xdr:row>
      <xdr:rowOff>189187</xdr:rowOff>
    </xdr:to>
    <xdr:sp macro="" textlink="">
      <xdr:nvSpPr>
        <xdr:cNvPr id="11" name="Rectangle 10"/>
        <xdr:cNvSpPr/>
      </xdr:nvSpPr>
      <xdr:spPr>
        <a:xfrm>
          <a:off x="8771467" y="2751667"/>
          <a:ext cx="276862" cy="3779053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40</xdr:row>
      <xdr:rowOff>0</xdr:rowOff>
    </xdr:from>
    <xdr:to>
      <xdr:col>31</xdr:col>
      <xdr:colOff>149862</xdr:colOff>
      <xdr:row>56</xdr:row>
      <xdr:rowOff>189187</xdr:rowOff>
    </xdr:to>
    <xdr:sp macro="" textlink="">
      <xdr:nvSpPr>
        <xdr:cNvPr id="12" name="Rectangle 11"/>
        <xdr:cNvSpPr/>
      </xdr:nvSpPr>
      <xdr:spPr>
        <a:xfrm>
          <a:off x="10507133" y="2751667"/>
          <a:ext cx="276862" cy="3779053"/>
        </a:xfrm>
        <a:prstGeom prst="rect">
          <a:avLst/>
        </a:prstGeom>
        <a:pattFill prst="pct20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17</xdr:col>
      <xdr:colOff>84667</xdr:colOff>
      <xdr:row>44</xdr:row>
      <xdr:rowOff>97971</xdr:rowOff>
    </xdr:from>
    <xdr:to>
      <xdr:col>21</xdr:col>
      <xdr:colOff>65315</xdr:colOff>
      <xdr:row>44</xdr:row>
      <xdr:rowOff>99485</xdr:rowOff>
    </xdr:to>
    <xdr:cxnSp macro="">
      <xdr:nvCxnSpPr>
        <xdr:cNvPr id="3" name="Connecteur en arc 2"/>
        <xdr:cNvCxnSpPr/>
      </xdr:nvCxnSpPr>
      <xdr:spPr>
        <a:xfrm flipV="1">
          <a:off x="5481260" y="9818914"/>
          <a:ext cx="1863876" cy="1514"/>
        </a:xfrm>
        <a:prstGeom prst="curved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F56"/>
  <sheetViews>
    <sheetView showGridLines="0" tabSelected="1" zoomScaleNormal="100" workbookViewId="0">
      <selection activeCell="F5" sqref="F5:G5"/>
    </sheetView>
  </sheetViews>
  <sheetFormatPr baseColWidth="10" defaultRowHeight="14.4" x14ac:dyDescent="0.3"/>
  <cols>
    <col min="1" max="1" width="13.88671875" style="4" customWidth="1"/>
    <col min="2" max="2" width="5.88671875" style="4" customWidth="1"/>
    <col min="3" max="3" width="12.88671875" style="4" customWidth="1"/>
    <col min="4" max="4" width="16.88671875" style="4" customWidth="1"/>
    <col min="5" max="5" width="19.21875" style="7" customWidth="1"/>
    <col min="6" max="6" width="11.5546875" style="12" customWidth="1"/>
    <col min="7" max="7" width="10.109375" style="12" customWidth="1"/>
    <col min="8" max="104" width="11.5546875" style="4" customWidth="1"/>
    <col min="105" max="105" width="11.5546875" style="4" hidden="1" customWidth="1"/>
    <col min="106" max="106" width="10" style="4" hidden="1" customWidth="1"/>
    <col min="107" max="107" width="8.88671875" style="4" hidden="1" customWidth="1"/>
    <col min="108" max="108" width="7.88671875" style="4" hidden="1" customWidth="1"/>
    <col min="109" max="109" width="8.44140625" style="4" hidden="1" customWidth="1"/>
    <col min="110" max="110" width="10.109375" style="4" hidden="1" customWidth="1"/>
    <col min="111" max="111" width="9.109375" style="4" hidden="1" customWidth="1"/>
    <col min="112" max="112" width="7.109375" style="4" hidden="1" customWidth="1"/>
    <col min="113" max="113" width="8.44140625" style="4" hidden="1" customWidth="1"/>
    <col min="114" max="114" width="10" style="4" hidden="1" customWidth="1"/>
    <col min="115" max="115" width="8.6640625" style="4" hidden="1" customWidth="1"/>
    <col min="116" max="116" width="11.5546875" style="4" hidden="1" customWidth="1"/>
    <col min="117" max="117" width="5.77734375" style="4" hidden="1" customWidth="1"/>
    <col min="118" max="118" width="11.5546875" style="4" hidden="1" customWidth="1"/>
    <col min="119" max="119" width="7.6640625" style="4" hidden="1" customWidth="1"/>
    <col min="120" max="120" width="10" style="4" hidden="1" customWidth="1"/>
    <col min="121" max="121" width="9.33203125" style="4" hidden="1" customWidth="1"/>
    <col min="122" max="122" width="11.5546875" style="4" hidden="1" customWidth="1"/>
    <col min="123" max="123" width="6.88671875" style="4" hidden="1" customWidth="1"/>
    <col min="124" max="124" width="11.5546875" style="4" hidden="1" customWidth="1"/>
    <col min="125" max="125" width="3.88671875" style="4" hidden="1" customWidth="1"/>
    <col min="126" max="126" width="9.44140625" style="4" hidden="1" customWidth="1"/>
    <col min="127" max="127" width="3.77734375" style="4" hidden="1" customWidth="1"/>
    <col min="128" max="128" width="9.77734375" style="4" hidden="1" customWidth="1"/>
    <col min="129" max="129" width="3.21875" style="4" hidden="1" customWidth="1"/>
    <col min="130" max="130" width="7.6640625" style="4" hidden="1" customWidth="1"/>
    <col min="131" max="131" width="4.33203125" style="4" hidden="1" customWidth="1"/>
    <col min="132" max="132" width="7.5546875" style="4" hidden="1" customWidth="1"/>
    <col min="133" max="133" width="6.33203125" style="4" hidden="1" customWidth="1"/>
    <col min="134" max="134" width="8.6640625" style="4" hidden="1" customWidth="1"/>
    <col min="135" max="135" width="8.33203125" style="4" hidden="1" customWidth="1"/>
    <col min="136" max="16384" width="11.5546875" style="4"/>
  </cols>
  <sheetData>
    <row r="1" spans="1:136" ht="9" customHeight="1" thickBot="1" x14ac:dyDescent="0.35">
      <c r="A1" s="158"/>
      <c r="B1" s="159"/>
      <c r="C1" s="159"/>
      <c r="D1" s="159"/>
      <c r="E1" s="159"/>
      <c r="F1" s="159"/>
      <c r="G1" s="160"/>
    </row>
    <row r="2" spans="1:136" s="3" customFormat="1" ht="101.25" customHeight="1" thickBot="1" x14ac:dyDescent="0.35">
      <c r="A2" s="163" t="s">
        <v>81</v>
      </c>
      <c r="B2" s="164"/>
      <c r="C2" s="164"/>
      <c r="D2" s="164"/>
      <c r="E2" s="71"/>
      <c r="F2" s="72"/>
      <c r="G2" s="73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</row>
    <row r="3" spans="1:136" ht="9" customHeight="1" thickBot="1" x14ac:dyDescent="0.35">
      <c r="A3" s="177"/>
      <c r="B3" s="178"/>
      <c r="C3" s="178"/>
      <c r="D3" s="178"/>
      <c r="E3" s="178"/>
      <c r="F3" s="178"/>
      <c r="G3" s="179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</row>
    <row r="4" spans="1:136" ht="19.95" customHeight="1" thickBot="1" x14ac:dyDescent="0.35">
      <c r="A4" s="273" t="s">
        <v>113</v>
      </c>
      <c r="B4" s="274"/>
      <c r="C4" s="274"/>
      <c r="D4" s="274"/>
      <c r="E4" s="274"/>
      <c r="F4" s="274"/>
      <c r="G4" s="275"/>
      <c r="DA4" s="30" t="s">
        <v>15</v>
      </c>
      <c r="DB4" s="32">
        <v>0</v>
      </c>
      <c r="DC4" s="30">
        <v>0</v>
      </c>
      <c r="DD4" s="31" t="s">
        <v>61</v>
      </c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</row>
    <row r="5" spans="1:136" s="5" customFormat="1" ht="15.6" customHeight="1" x14ac:dyDescent="0.3">
      <c r="A5" s="66" t="s">
        <v>0</v>
      </c>
      <c r="B5" s="67"/>
      <c r="C5" s="67"/>
      <c r="D5" s="67"/>
      <c r="E5" s="13"/>
      <c r="F5" s="271"/>
      <c r="G5" s="272"/>
      <c r="DA5" s="30" t="s">
        <v>16</v>
      </c>
      <c r="DB5" s="32">
        <v>3.2000000000000001E-2</v>
      </c>
      <c r="DC5" s="32">
        <v>0.4</v>
      </c>
      <c r="DD5" s="31" t="s">
        <v>62</v>
      </c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</row>
    <row r="6" spans="1:136" ht="15.6" customHeight="1" x14ac:dyDescent="0.3">
      <c r="A6" s="161" t="s">
        <v>82</v>
      </c>
      <c r="B6" s="162"/>
      <c r="C6" s="162"/>
      <c r="D6" s="162"/>
      <c r="E6" s="13"/>
      <c r="F6" s="182"/>
      <c r="G6" s="183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ht="15.6" customHeight="1" x14ac:dyDescent="0.3">
      <c r="A7" s="161" t="s">
        <v>83</v>
      </c>
      <c r="B7" s="162"/>
      <c r="C7" s="162"/>
      <c r="D7" s="162"/>
      <c r="E7" s="13"/>
      <c r="F7" s="182"/>
      <c r="G7" s="183"/>
      <c r="DA7" s="30"/>
      <c r="DB7" s="264" t="s">
        <v>59</v>
      </c>
      <c r="DC7" s="264"/>
      <c r="DD7" s="264" t="s">
        <v>64</v>
      </c>
      <c r="DE7" s="264"/>
      <c r="DF7" s="264" t="s">
        <v>73</v>
      </c>
      <c r="DG7" s="264"/>
      <c r="DH7" s="264" t="s">
        <v>65</v>
      </c>
      <c r="DI7" s="264"/>
      <c r="DJ7" s="264" t="s">
        <v>66</v>
      </c>
      <c r="DK7" s="264"/>
      <c r="DL7" s="264" t="s">
        <v>67</v>
      </c>
      <c r="DM7" s="264"/>
      <c r="DN7" s="47" t="s">
        <v>68</v>
      </c>
      <c r="DO7" s="47"/>
      <c r="DP7" s="47" t="s">
        <v>70</v>
      </c>
      <c r="DQ7" s="47"/>
      <c r="DR7" s="47" t="s">
        <v>69</v>
      </c>
      <c r="DS7" s="47"/>
      <c r="DT7" s="47" t="s">
        <v>71</v>
      </c>
      <c r="DU7" s="47"/>
      <c r="DV7" s="49" t="s">
        <v>59</v>
      </c>
      <c r="DW7" s="47"/>
      <c r="DX7" s="47" t="s">
        <v>74</v>
      </c>
      <c r="DY7" s="47"/>
      <c r="DZ7" s="47" t="s">
        <v>75</v>
      </c>
      <c r="EA7" s="47"/>
      <c r="EB7" s="47" t="s">
        <v>76</v>
      </c>
      <c r="EC7" s="47"/>
      <c r="ED7" s="47" t="s">
        <v>77</v>
      </c>
      <c r="EE7" s="47"/>
      <c r="EF7" s="30"/>
    </row>
    <row r="8" spans="1:136" ht="15.6" customHeight="1" x14ac:dyDescent="0.3">
      <c r="A8" s="161" t="s">
        <v>84</v>
      </c>
      <c r="B8" s="162"/>
      <c r="C8" s="162"/>
      <c r="D8" s="162"/>
      <c r="E8" s="13"/>
      <c r="F8" s="263"/>
      <c r="G8" s="261"/>
      <c r="DA8" s="30"/>
      <c r="DB8" s="35"/>
      <c r="DC8" s="35"/>
      <c r="DD8" s="34"/>
      <c r="DE8" s="34"/>
      <c r="DF8" s="34"/>
      <c r="DG8" s="34"/>
      <c r="DH8" s="34"/>
      <c r="DI8" s="34"/>
      <c r="DJ8" s="35"/>
      <c r="DK8" s="35"/>
      <c r="DL8" s="35"/>
      <c r="DM8" s="35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136" ht="15.6" customHeight="1" thickBot="1" x14ac:dyDescent="0.35">
      <c r="A9" s="161" t="s">
        <v>85</v>
      </c>
      <c r="B9" s="162"/>
      <c r="C9" s="162"/>
      <c r="D9" s="162"/>
      <c r="E9" s="13"/>
      <c r="F9" s="260"/>
      <c r="G9" s="261"/>
      <c r="DA9" s="30" t="s">
        <v>2</v>
      </c>
      <c r="DB9" s="193">
        <f>IF(F29="Formule 1",((-0.0339*F12+(351.555/F12)+3.3212)+(EXP(-0.682*LN(F14)+1.531)-EXP(-0.391*LN(F13)+1.963))),0)</f>
        <v>0</v>
      </c>
      <c r="DC9" s="194"/>
      <c r="DD9" s="262">
        <v>0</v>
      </c>
      <c r="DE9" s="262"/>
      <c r="DF9" s="192">
        <v>0</v>
      </c>
      <c r="DG9" s="192"/>
      <c r="DH9" s="192">
        <v>0</v>
      </c>
      <c r="DI9" s="192"/>
      <c r="DJ9" s="191">
        <f>IF(F29="Formule 1",IF(F20=0,0,10000*F20^-1*108.9/1000/F12),0)</f>
        <v>0</v>
      </c>
      <c r="DK9" s="191"/>
      <c r="DL9" s="190">
        <f>IF(F21=0.032,(DB9+DJ9+DN9)*F21,0)</f>
        <v>0</v>
      </c>
      <c r="DM9" s="190"/>
      <c r="DN9" s="190">
        <f>IF(F22= 40%,(DB9)*F22,0)</f>
        <v>0</v>
      </c>
      <c r="DO9" s="190"/>
      <c r="DP9" s="237">
        <f>DB9+DJ9+DL9+DN9</f>
        <v>0</v>
      </c>
      <c r="DQ9" s="238"/>
      <c r="DR9" s="235">
        <f>DP9*F12</f>
        <v>0</v>
      </c>
      <c r="DS9" s="236"/>
      <c r="DT9" s="232">
        <f>IF(F29="Formule 1",IF(E29=0,0,SUMPRODUCT(D24:D28,E24:E28)/E29),0)</f>
        <v>0</v>
      </c>
      <c r="DU9" s="233"/>
      <c r="DV9" s="234">
        <f>DB9*$F$12</f>
        <v>0</v>
      </c>
      <c r="DW9" s="233"/>
      <c r="DX9" s="232">
        <f>(DJ9+DL9+DN9)*F12+DT9</f>
        <v>0</v>
      </c>
      <c r="DY9" s="233"/>
      <c r="DZ9" s="232">
        <f>IF(DV9+DX9&lt;0,0,DV9+DX9)</f>
        <v>0</v>
      </c>
      <c r="EA9" s="233"/>
      <c r="EB9" s="232">
        <f>IF(F29="Formule 1",E29,0)</f>
        <v>0</v>
      </c>
      <c r="EC9" s="233"/>
      <c r="ED9" s="230">
        <f>DZ9*EB9</f>
        <v>0</v>
      </c>
      <c r="EE9" s="231"/>
      <c r="EF9" s="30"/>
    </row>
    <row r="10" spans="1:136" ht="19.95" customHeight="1" thickBot="1" x14ac:dyDescent="0.35">
      <c r="A10" s="273" t="s">
        <v>120</v>
      </c>
      <c r="B10" s="274"/>
      <c r="C10" s="274"/>
      <c r="D10" s="274"/>
      <c r="E10" s="274"/>
      <c r="F10" s="274"/>
      <c r="G10" s="275"/>
      <c r="DA10" s="30" t="s">
        <v>18</v>
      </c>
      <c r="DB10" s="193">
        <f>IF(F29="Formule 2",((-0.0339*F12+(351.555/F12)+3.3212)+(EXP(-0.237*LN(F14)+2.616)-EXP(-0.237*LN(F13)+2.271)-0.41)),0)</f>
        <v>0</v>
      </c>
      <c r="DC10" s="194"/>
      <c r="DD10" s="262">
        <v>0</v>
      </c>
      <c r="DE10" s="262"/>
      <c r="DF10" s="192">
        <v>0</v>
      </c>
      <c r="DG10" s="192"/>
      <c r="DH10" s="192">
        <v>0</v>
      </c>
      <c r="DI10" s="192"/>
      <c r="DJ10" s="191">
        <f>IF(F29="Formule 2",IF(F20=0,0,10000*F20^-1*108.9/1000/F12),0)</f>
        <v>0</v>
      </c>
      <c r="DK10" s="191"/>
      <c r="DL10" s="190">
        <f>IF(F21=0.032,(DB10+DJ10)*F21,0)</f>
        <v>0</v>
      </c>
      <c r="DM10" s="190"/>
      <c r="DN10" s="192">
        <v>0</v>
      </c>
      <c r="DO10" s="192"/>
      <c r="DP10" s="237">
        <f>DB10+DJ10+DL10</f>
        <v>0</v>
      </c>
      <c r="DQ10" s="238"/>
      <c r="DR10" s="235">
        <f>DP10*F12</f>
        <v>0</v>
      </c>
      <c r="DS10" s="236"/>
      <c r="DT10" s="232">
        <f>IF(F29="Formule 2",IF(E29=0,0,SUMPRODUCT(D24:D28,E24:E28)/E29),0)</f>
        <v>0</v>
      </c>
      <c r="DU10" s="233"/>
      <c r="DV10" s="234">
        <f>DB10*$F$12</f>
        <v>0</v>
      </c>
      <c r="DW10" s="233"/>
      <c r="DX10" s="232">
        <f>(DJ10+DL10)*F12+DT10</f>
        <v>0</v>
      </c>
      <c r="DY10" s="233"/>
      <c r="DZ10" s="232">
        <f t="shared" ref="DZ10:DZ14" si="0">IF(DV10+DX10&lt;0,0,DV10+DX10)</f>
        <v>0</v>
      </c>
      <c r="EA10" s="233"/>
      <c r="EB10" s="232">
        <f>IF(F29="Formule 2",E29,0)</f>
        <v>0</v>
      </c>
      <c r="EC10" s="233"/>
      <c r="ED10" s="230">
        <f t="shared" ref="ED10:ED14" si="1">DZ10*EB10</f>
        <v>0</v>
      </c>
      <c r="EE10" s="231"/>
      <c r="EF10" s="30"/>
    </row>
    <row r="11" spans="1:136" ht="15.6" customHeight="1" x14ac:dyDescent="0.3">
      <c r="A11" s="207" t="s">
        <v>60</v>
      </c>
      <c r="B11" s="208"/>
      <c r="C11" s="208"/>
      <c r="D11" s="208"/>
      <c r="E11" s="209"/>
      <c r="F11" s="256" t="s">
        <v>62</v>
      </c>
      <c r="G11" s="257"/>
      <c r="DA11" s="30" t="s">
        <v>19</v>
      </c>
      <c r="DB11" s="193">
        <f>IF(F29="Formule 4",((-0.0425*F12+(351.555/F12)+3.8955)+(EXP(-0.526*LN(F14)+2.347)-EXP(-0.563*LN(1.25*F13)+1.946)-0.41)),0)</f>
        <v>0</v>
      </c>
      <c r="DC11" s="194"/>
      <c r="DD11" s="223">
        <f>IF(F29="Formule 4",IF(IF(($F$16+$F$17+$F$18=0),0,((0.5-(((2*$F$17)/($F$16+2*$F$17+$F$18))))*2))&lt;0,0,IF(($F$16+$F$17+$F$18=0),0,((0.5-(((2*$F$17)/($F$16+2*$F$17+$F$18))))*2))),0)</f>
        <v>0</v>
      </c>
      <c r="DE11" s="223"/>
      <c r="DF11" s="191">
        <f>-DB11*DD11</f>
        <v>0</v>
      </c>
      <c r="DG11" s="191"/>
      <c r="DH11" s="191">
        <f>-DB11*F19</f>
        <v>0</v>
      </c>
      <c r="DI11" s="191"/>
      <c r="DJ11" s="191">
        <f>IF(F29="Formule 4",IF(F20=0,0,10000*F20^-1*108.9/1000/F12),0)</f>
        <v>0</v>
      </c>
      <c r="DK11" s="191"/>
      <c r="DL11" s="190">
        <f>IF(F21=0.032,(DB11+DF11+DH11+DJ11)*F21,0)</f>
        <v>0</v>
      </c>
      <c r="DM11" s="190"/>
      <c r="DN11" s="192">
        <v>0</v>
      </c>
      <c r="DO11" s="192"/>
      <c r="DP11" s="190">
        <f>DB11+DF11+DH11+DJ11+DL11</f>
        <v>0</v>
      </c>
      <c r="DQ11" s="190"/>
      <c r="DR11" s="235">
        <f>DP11*F12</f>
        <v>0</v>
      </c>
      <c r="DS11" s="236"/>
      <c r="DT11" s="232">
        <f>IF(F29="Formule 4",IF(E29=0,0,SUMPRODUCT(D24:D28,E24:E28)/E29),0)</f>
        <v>0</v>
      </c>
      <c r="DU11" s="233"/>
      <c r="DV11" s="234">
        <f>(DB11+DF11+DH11)*$F$12</f>
        <v>0</v>
      </c>
      <c r="DW11" s="233"/>
      <c r="DX11" s="232">
        <f>(DJ11+DL11)*F12+DT11</f>
        <v>0</v>
      </c>
      <c r="DY11" s="233"/>
      <c r="DZ11" s="232">
        <f t="shared" si="0"/>
        <v>0</v>
      </c>
      <c r="EA11" s="233"/>
      <c r="EB11" s="232">
        <f>IF(F29="Formule 4",E29,0)</f>
        <v>0</v>
      </c>
      <c r="EC11" s="233"/>
      <c r="ED11" s="230">
        <f t="shared" si="1"/>
        <v>0</v>
      </c>
      <c r="EE11" s="231"/>
      <c r="EF11" s="30"/>
    </row>
    <row r="12" spans="1:136" ht="15.6" customHeight="1" x14ac:dyDescent="0.3">
      <c r="A12" s="161" t="s">
        <v>79</v>
      </c>
      <c r="B12" s="162"/>
      <c r="C12" s="162"/>
      <c r="D12" s="162"/>
      <c r="E12" s="210"/>
      <c r="F12" s="254">
        <v>57.2</v>
      </c>
      <c r="G12" s="255"/>
      <c r="DA12" s="30" t="s">
        <v>20</v>
      </c>
      <c r="DB12" s="193">
        <f>IF(F29="Formule 5",((-0.0425*F12+(351.555/F12)+3.8955)+(EXP(-0.535*LN(F14)+2.291)-EXP(-0.563*LN(1.25*F13)+1.946)-0.41)),0)</f>
        <v>9.75273476267005</v>
      </c>
      <c r="DC12" s="194"/>
      <c r="DD12" s="223">
        <f>IF(F29="Formule 5",IF(IF(($F$16+$F$17+$F$18=0),0,((0.5-(((2*$F$17)/($F$16+2*$F$17+$F$18))))*2))&lt;0,0,IF(($F$16+$F$17+$F$18=0),0,((0.5-(((2*$F$17)/($F$16+2*$F$17+$F$18))))*2))),0)</f>
        <v>0</v>
      </c>
      <c r="DE12" s="223"/>
      <c r="DF12" s="191">
        <f>-DB12*DD12</f>
        <v>0</v>
      </c>
      <c r="DG12" s="191"/>
      <c r="DH12" s="191">
        <f>-DB12*F19</f>
        <v>0</v>
      </c>
      <c r="DI12" s="191"/>
      <c r="DJ12" s="191">
        <f>IF(F29="Formule 5",IF(F20=0,0,10000*F20^-1*108.9/1000/F12),0)</f>
        <v>0</v>
      </c>
      <c r="DK12" s="191"/>
      <c r="DL12" s="190">
        <f>IF(F21=0.032,(DB12+DF12+DH12+DJ12)*F21,0)</f>
        <v>0</v>
      </c>
      <c r="DM12" s="190"/>
      <c r="DN12" s="192">
        <v>0</v>
      </c>
      <c r="DO12" s="192"/>
      <c r="DP12" s="190">
        <f t="shared" ref="DP12:DP14" si="2">DB12+DF12+DH12+DJ12+DL12</f>
        <v>9.75273476267005</v>
      </c>
      <c r="DQ12" s="190"/>
      <c r="DR12" s="235">
        <f>DP12*F12</f>
        <v>557.85642842472691</v>
      </c>
      <c r="DS12" s="236"/>
      <c r="DT12" s="232">
        <f>IF(F29="Formule 5",IF(E29=0,0,SUMPRODUCT(D24:D28,E24:E28)/E29),0)</f>
        <v>0</v>
      </c>
      <c r="DU12" s="233"/>
      <c r="DV12" s="234">
        <f t="shared" ref="DV12:DV14" si="3">(DB12+DF12+DH12)*$F$12</f>
        <v>557.85642842472691</v>
      </c>
      <c r="DW12" s="233"/>
      <c r="DX12" s="232">
        <f>(DJ12+DL12)*F12+DT12</f>
        <v>0</v>
      </c>
      <c r="DY12" s="233"/>
      <c r="DZ12" s="232">
        <f t="shared" si="0"/>
        <v>557.85642842472691</v>
      </c>
      <c r="EA12" s="233"/>
      <c r="EB12" s="232">
        <f>IF(F29="Formule 5",E29,0)</f>
        <v>0</v>
      </c>
      <c r="EC12" s="233"/>
      <c r="ED12" s="230">
        <f t="shared" si="1"/>
        <v>0</v>
      </c>
      <c r="EE12" s="231"/>
      <c r="EF12" s="30"/>
    </row>
    <row r="13" spans="1:136" ht="15.6" customHeight="1" x14ac:dyDescent="0.3">
      <c r="A13" s="161" t="s">
        <v>80</v>
      </c>
      <c r="B13" s="162"/>
      <c r="C13" s="162"/>
      <c r="D13" s="162"/>
      <c r="E13" s="210"/>
      <c r="F13" s="248">
        <v>0.26600000000000001</v>
      </c>
      <c r="G13" s="249"/>
      <c r="DA13" s="30" t="s">
        <v>21</v>
      </c>
      <c r="DB13" s="193">
        <f>IF(F29="Formule 6",((-0.0425*F12+(351.555/F12)+3.8955)+(EXP(-0.534*LN(F14)+1.983)-EXP(-0.564*LN(F13)+1.792))),0)</f>
        <v>0</v>
      </c>
      <c r="DC13" s="194"/>
      <c r="DD13" s="223">
        <f>IF(F29="Formule 6",IF(IF(($F$16+$F$17+$F$18=0),0,((0.5-(((2*$F$17)/($F$16+2*$F$17+$F$18))))*2))&lt;0,0,IF(($F$16+$F$17+$F$18=0),0,((0.5-(((2*$F$17)/($F$16+2*$F$17+$F$18))))*2))),0)</f>
        <v>0</v>
      </c>
      <c r="DE13" s="223"/>
      <c r="DF13" s="191">
        <f>-DB13*DD13</f>
        <v>0</v>
      </c>
      <c r="DG13" s="191"/>
      <c r="DH13" s="191">
        <f>-DB13*F19</f>
        <v>0</v>
      </c>
      <c r="DI13" s="191"/>
      <c r="DJ13" s="192">
        <v>0</v>
      </c>
      <c r="DK13" s="192"/>
      <c r="DL13" s="190">
        <f>IF(F21=0.032,(DB13+DF13+DH13)*F21,0)</f>
        <v>0</v>
      </c>
      <c r="DM13" s="190"/>
      <c r="DN13" s="192">
        <v>0</v>
      </c>
      <c r="DO13" s="192"/>
      <c r="DP13" s="190">
        <f t="shared" si="2"/>
        <v>0</v>
      </c>
      <c r="DQ13" s="190"/>
      <c r="DR13" s="235">
        <f>DP13*F12</f>
        <v>0</v>
      </c>
      <c r="DS13" s="236"/>
      <c r="DT13" s="232">
        <f>IF(F29="Formule 6",IF(E29=0,0,SUMPRODUCT(D24:D28,E24:E28)/E29),0)</f>
        <v>0</v>
      </c>
      <c r="DU13" s="233"/>
      <c r="DV13" s="234">
        <f t="shared" si="3"/>
        <v>0</v>
      </c>
      <c r="DW13" s="233"/>
      <c r="DX13" s="232">
        <f>(DL13)*F12+DT13</f>
        <v>0</v>
      </c>
      <c r="DY13" s="233"/>
      <c r="DZ13" s="232">
        <f t="shared" si="0"/>
        <v>0</v>
      </c>
      <c r="EA13" s="233"/>
      <c r="EB13" s="232">
        <f>IF(F29="Formule 6",E29,0)</f>
        <v>0</v>
      </c>
      <c r="EC13" s="233"/>
      <c r="ED13" s="230">
        <f t="shared" si="1"/>
        <v>0</v>
      </c>
      <c r="EE13" s="231"/>
      <c r="EF13" s="30"/>
    </row>
    <row r="14" spans="1:136" ht="15.6" customHeight="1" thickBot="1" x14ac:dyDescent="0.35">
      <c r="A14" s="211" t="s">
        <v>58</v>
      </c>
      <c r="B14" s="212"/>
      <c r="C14" s="212"/>
      <c r="D14" s="212"/>
      <c r="E14" s="213"/>
      <c r="F14" s="252">
        <v>0.42799999999999999</v>
      </c>
      <c r="G14" s="253"/>
      <c r="DA14" s="30" t="s">
        <v>22</v>
      </c>
      <c r="DB14" s="193">
        <f>IF(F29="Formule 7",((-0.0425*F12+(351.555/F12)+3.8955)+(EXP(-0.643*LN(F14)+1.963)-EXP(-0.564*LN(F13)+1.792))),0)</f>
        <v>0</v>
      </c>
      <c r="DC14" s="194"/>
      <c r="DD14" s="223">
        <f>IF(F29="Formule 7",IF(IF(($F$16+$F$17+$F$18=0),0,((0.5-(((2*$F$17)/($F$16+2*$F$17+$F$18))))*2))&lt;0,0,IF(($F$16+$F$17+$F$18=0),0,((0.5-(((2*$F$17)/($F$16+2*$F$17+$F$18))))*2))),0)</f>
        <v>0</v>
      </c>
      <c r="DE14" s="223"/>
      <c r="DF14" s="191">
        <f>-DB14*DD14</f>
        <v>0</v>
      </c>
      <c r="DG14" s="191"/>
      <c r="DH14" s="191">
        <f>-DB14*F19</f>
        <v>0</v>
      </c>
      <c r="DI14" s="191"/>
      <c r="DJ14" s="191">
        <f>IF(F29="Formule 7",IF(F20=0,0,10000*F20^-1*108.9/1000/F12),0)</f>
        <v>0</v>
      </c>
      <c r="DK14" s="191"/>
      <c r="DL14" s="190">
        <f>IF(F21=0.032,(DB14+DF14+DH14+DJ14)*F21,0)</f>
        <v>0</v>
      </c>
      <c r="DM14" s="190"/>
      <c r="DN14" s="192">
        <v>0</v>
      </c>
      <c r="DO14" s="192"/>
      <c r="DP14" s="190">
        <f t="shared" si="2"/>
        <v>0</v>
      </c>
      <c r="DQ14" s="190"/>
      <c r="DR14" s="235">
        <f>DP14*F12</f>
        <v>0</v>
      </c>
      <c r="DS14" s="236"/>
      <c r="DT14" s="232">
        <f>IF(F29="Formule 7",IF(E29=0,0,SUMPRODUCT(D24:D28,E24:E28)/E29),0)</f>
        <v>0</v>
      </c>
      <c r="DU14" s="233"/>
      <c r="DV14" s="234">
        <f t="shared" si="3"/>
        <v>0</v>
      </c>
      <c r="DW14" s="233"/>
      <c r="DX14" s="232">
        <f>(DJ14+DL14)*F12+DT14</f>
        <v>0</v>
      </c>
      <c r="DY14" s="233"/>
      <c r="DZ14" s="232">
        <f t="shared" si="0"/>
        <v>0</v>
      </c>
      <c r="EA14" s="233"/>
      <c r="EB14" s="232">
        <f>IF(F29="Formule 7",E29,0)</f>
        <v>0</v>
      </c>
      <c r="EC14" s="233"/>
      <c r="ED14" s="230">
        <f t="shared" si="1"/>
        <v>0</v>
      </c>
      <c r="EE14" s="231"/>
      <c r="EF14" s="30"/>
    </row>
    <row r="15" spans="1:136" ht="19.95" customHeight="1" thickBot="1" x14ac:dyDescent="0.35">
      <c r="A15" s="273" t="s">
        <v>121</v>
      </c>
      <c r="B15" s="274"/>
      <c r="C15" s="274"/>
      <c r="D15" s="274"/>
      <c r="E15" s="274"/>
      <c r="F15" s="274"/>
      <c r="G15" s="275"/>
      <c r="DA15" s="30"/>
      <c r="DB15" s="74"/>
      <c r="DC15" s="74"/>
      <c r="DD15" s="75"/>
      <c r="DE15" s="75"/>
      <c r="DF15" s="76"/>
      <c r="DG15" s="76"/>
      <c r="DH15" s="76"/>
      <c r="DI15" s="76"/>
      <c r="DJ15" s="77"/>
      <c r="DK15" s="77"/>
      <c r="DL15" s="78"/>
      <c r="DM15" s="78"/>
      <c r="DN15" s="76"/>
      <c r="DO15" s="76"/>
      <c r="DP15" s="78"/>
      <c r="DQ15" s="78"/>
      <c r="DR15" s="78"/>
      <c r="DS15" s="78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80"/>
      <c r="EE15" s="80"/>
      <c r="EF15" s="30"/>
    </row>
    <row r="16" spans="1:136" ht="15.6" customHeight="1" x14ac:dyDescent="0.3">
      <c r="A16" s="195" t="s">
        <v>142</v>
      </c>
      <c r="B16" s="196"/>
      <c r="C16" s="201" t="s">
        <v>143</v>
      </c>
      <c r="D16" s="201"/>
      <c r="E16" s="202"/>
      <c r="F16" s="250"/>
      <c r="G16" s="251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</row>
    <row r="17" spans="1:136" ht="15.6" customHeight="1" x14ac:dyDescent="0.3">
      <c r="A17" s="197"/>
      <c r="B17" s="198"/>
      <c r="C17" s="203" t="s">
        <v>144</v>
      </c>
      <c r="D17" s="203"/>
      <c r="E17" s="204"/>
      <c r="F17" s="241"/>
      <c r="G17" s="242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</row>
    <row r="18" spans="1:136" ht="15.6" customHeight="1" x14ac:dyDescent="0.3">
      <c r="A18" s="199"/>
      <c r="B18" s="200"/>
      <c r="C18" s="205" t="s">
        <v>145</v>
      </c>
      <c r="D18" s="205"/>
      <c r="E18" s="206"/>
      <c r="F18" s="241"/>
      <c r="G18" s="242"/>
      <c r="DA18" s="30" t="s">
        <v>63</v>
      </c>
      <c r="DB18" s="30">
        <f>IF(OR(F29="Formule 6",F29="Formule 5"),1,0)</f>
        <v>1</v>
      </c>
      <c r="DC18" s="30">
        <f>IF(F11= "Martelage",1,0)</f>
        <v>0</v>
      </c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</row>
    <row r="19" spans="1:136" ht="15.6" customHeight="1" x14ac:dyDescent="0.3">
      <c r="A19" s="214" t="s">
        <v>23</v>
      </c>
      <c r="B19" s="215"/>
      <c r="C19" s="215"/>
      <c r="D19" s="215"/>
      <c r="E19" s="216"/>
      <c r="F19" s="243"/>
      <c r="G19" s="244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</row>
    <row r="20" spans="1:136" ht="15.6" customHeight="1" x14ac:dyDescent="0.3">
      <c r="A20" s="217" t="s">
        <v>3</v>
      </c>
      <c r="B20" s="218"/>
      <c r="C20" s="218"/>
      <c r="D20" s="218"/>
      <c r="E20" s="219"/>
      <c r="F20" s="228"/>
      <c r="G20" s="229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</row>
    <row r="21" spans="1:136" ht="15.6" customHeight="1" x14ac:dyDescent="0.3">
      <c r="A21" s="174" t="s">
        <v>4</v>
      </c>
      <c r="B21" s="175"/>
      <c r="C21" s="175"/>
      <c r="D21" s="175"/>
      <c r="E21" s="176"/>
      <c r="F21" s="239"/>
      <c r="G21" s="240"/>
    </row>
    <row r="22" spans="1:136" ht="15.6" customHeight="1" thickBot="1" x14ac:dyDescent="0.35">
      <c r="A22" s="220" t="s">
        <v>154</v>
      </c>
      <c r="B22" s="221"/>
      <c r="C22" s="221"/>
      <c r="D22" s="221"/>
      <c r="E22" s="222"/>
      <c r="F22" s="239"/>
      <c r="G22" s="240"/>
    </row>
    <row r="23" spans="1:136" ht="15.6" customHeight="1" x14ac:dyDescent="0.3">
      <c r="A23" s="258" t="s">
        <v>5</v>
      </c>
      <c r="B23" s="118" t="s">
        <v>11</v>
      </c>
      <c r="C23" s="16" t="s">
        <v>12</v>
      </c>
      <c r="D23" s="17" t="s">
        <v>13</v>
      </c>
      <c r="E23" s="36" t="s">
        <v>17</v>
      </c>
      <c r="F23" s="224"/>
      <c r="G23" s="225"/>
    </row>
    <row r="24" spans="1:136" ht="15.6" customHeight="1" x14ac:dyDescent="0.3">
      <c r="A24" s="258"/>
      <c r="B24" s="15" t="s">
        <v>6</v>
      </c>
      <c r="C24" s="25">
        <f>IF(F29="Formule 1",DR9*(1+0),IF(F29="Formule 2",DR10*(1+0),IF(F29="Formule 4",DR11*(1+0),IF(F29="Formule 5",DR12*(1+0),IF(F29="Formule 6",DR13*(1+0),IF(F29="Formule 7",DR14*(1+0)))))))</f>
        <v>557.85642842472691</v>
      </c>
      <c r="D24" s="26">
        <f>IF(F29="Formule 1",C24-DR9,IF(F29="Formule 2",C24-DR10,IF(F29="Formule 4",C24-DR11,IF(F29="Formule 5",C24-DR12,IF(F29="Formule 6",C24-DR13,IF(F29="Formule 7",C24-DR14))))))</f>
        <v>0</v>
      </c>
      <c r="E24" s="37"/>
      <c r="F24" s="224"/>
      <c r="G24" s="225"/>
    </row>
    <row r="25" spans="1:136" ht="15.6" customHeight="1" x14ac:dyDescent="0.3">
      <c r="A25" s="258"/>
      <c r="B25" s="15" t="s">
        <v>7</v>
      </c>
      <c r="C25" s="25">
        <f>IF(F29="Formule 1",DR9*(1+0),IF(F29="Formule 2",DR10*(1+0),IF(F29="Formule 4",DR11*(1+0),IF(F29="Formule 5",DR12*(1+0),IF(F29="Formule 6",DR13*(1+0),IF(F29="Formule 7",DR14*(1+0)))))))</f>
        <v>557.85642842472691</v>
      </c>
      <c r="D25" s="26">
        <f>IF(F29="Formule 1",C25-DR9,IF(F29="Formule 2",C25-DR10,IF(F29="Formule 4",C25-DR11,IF(F29="Formule 5",C25-DR12,IF(F29="Formule 6",C25-DR13,IF(F29="Formule 7",C25-DR14))))))</f>
        <v>0</v>
      </c>
      <c r="E25" s="37"/>
      <c r="F25" s="224"/>
      <c r="G25" s="225"/>
    </row>
    <row r="26" spans="1:136" ht="15.6" customHeight="1" x14ac:dyDescent="0.3">
      <c r="A26" s="258"/>
      <c r="B26" s="15" t="s">
        <v>8</v>
      </c>
      <c r="C26" s="25">
        <f>IF(F29="Formule 1",DR9*(1+0.007),IF(F29="Formule 2",DR10*(1+0.007),IF(F29="Formule 4",DR11*(1+0.007),IF(F29="Formule 5",DR12*(1+0.007),IF(F29="Formule 6",DR13*(1+0.007),IF(F29="Formule 7",DR14*(1+0.007)))))))</f>
        <v>561.76142342369997</v>
      </c>
      <c r="D26" s="26">
        <f>IF(F29="Formule 1",C26-DR9,IF(F29="Formule 2",C26-DR10,IF(F29="Formule 4",C26-DR11,IF(F29="Formule 5",C26-DR12,IF(F29="Formule 6",C26-DR13,IF(F29="Formule 7",C26-DR14))))))</f>
        <v>3.9049949989730521</v>
      </c>
      <c r="E26" s="37"/>
      <c r="F26" s="224"/>
      <c r="G26" s="225"/>
    </row>
    <row r="27" spans="1:136" ht="15.6" customHeight="1" x14ac:dyDescent="0.3">
      <c r="A27" s="258"/>
      <c r="B27" s="15" t="s">
        <v>9</v>
      </c>
      <c r="C27" s="25">
        <f>IF(F29="Formule 1",DR9*(1+0.026),IF(F29="Formule 2",DR10*(1+0.026),IF(F29="Formule 4",DR11*(1+0.026),IF(F29="Formule 5",DR12*(1+0.026),IF(F29="Formule 6",DR13*(1+0.026),IF(F29="Formule 7",DR14*(1+0.026)))))))</f>
        <v>572.36069556376981</v>
      </c>
      <c r="D27" s="26">
        <f>IF(F29="Formule 1",C27-DR9,IF(F29="Formule 2",C27-DR10,IF(F29="Formule 4",C27-DR11,IF(F29="Formule 5",C27-DR12,IF(F29="Formule 6",C27-DR13,IF(F29="Formule 7",C27-DR14))))))</f>
        <v>14.504267139042895</v>
      </c>
      <c r="E27" s="37"/>
      <c r="F27" s="224"/>
      <c r="G27" s="225"/>
    </row>
    <row r="28" spans="1:136" ht="15.6" customHeight="1" thickBot="1" x14ac:dyDescent="0.35">
      <c r="A28" s="259"/>
      <c r="B28" s="18" t="s">
        <v>10</v>
      </c>
      <c r="C28" s="27">
        <f>IF(F29="Formule 1",DR9*(1+0.061),IF(F29="Formule 2",DR10*(1+0.061),IF(F29="Formule 4",DR11*(1+0.061),IF(F29="Formule 5",DR12*(1+0.061),IF(F29="Formule 6",DR13*(1+0.061),IF(F29="Formule 7",DR14*(1+0.061)))))))</f>
        <v>591.88567055863518</v>
      </c>
      <c r="D28" s="28">
        <f>IF(F29="Formule 1",C28-DR9,IF(F29="Formule 2",C28-DR10,IF(F29="Formule 4",C28-DR11,IF(F29="Formule 5",C28-DR12,IF(F29="Formule 6",C28-DR13,IF(F29="Formule 7",C28-DR14))))))</f>
        <v>34.029242133908269</v>
      </c>
      <c r="E28" s="37"/>
      <c r="F28" s="224"/>
      <c r="G28" s="225"/>
      <c r="DA28" s="6"/>
      <c r="DB28" s="6"/>
      <c r="DC28" s="6"/>
    </row>
    <row r="29" spans="1:136" s="6" customFormat="1" ht="15.6" customHeight="1" thickBot="1" x14ac:dyDescent="0.35">
      <c r="A29" s="19"/>
      <c r="B29" s="20"/>
      <c r="C29" s="21"/>
      <c r="D29" s="22" t="s">
        <v>24</v>
      </c>
      <c r="E29" s="38">
        <f>SUM(E24:E28)</f>
        <v>0</v>
      </c>
      <c r="F29" s="226" t="s">
        <v>20</v>
      </c>
      <c r="G29" s="227"/>
    </row>
    <row r="30" spans="1:136" s="6" customFormat="1" ht="15.6" customHeight="1" x14ac:dyDescent="0.3">
      <c r="A30" s="14"/>
      <c r="B30" s="23"/>
      <c r="C30" s="23"/>
      <c r="D30" s="24"/>
      <c r="E30" s="245" t="str">
        <f>IF(DB18+DC18=2,"Attention, formule conçue sans martelage"," ")</f>
        <v xml:space="preserve"> </v>
      </c>
      <c r="F30" s="246"/>
      <c r="G30" s="247"/>
    </row>
    <row r="31" spans="1:136" s="6" customFormat="1" ht="15.6" customHeight="1" x14ac:dyDescent="0.3">
      <c r="A31" s="174" t="s">
        <v>1</v>
      </c>
      <c r="B31" s="175"/>
      <c r="C31" s="175"/>
      <c r="D31" s="176"/>
      <c r="E31" s="2"/>
      <c r="F31" s="180">
        <f>IF($F$29="Formule 1",DB9,IF($F$29="Formule 2",DB10,IF($F$29="Formule 4",DB11,IF($F$29="Formule 5",DB12,IF($F$29="Formule 6",DB13,IF($F$29="Formule 7",DB14))))))</f>
        <v>9.75273476267005</v>
      </c>
      <c r="G31" s="181"/>
    </row>
    <row r="32" spans="1:136" s="6" customFormat="1" ht="15.6" customHeight="1" x14ac:dyDescent="0.3">
      <c r="A32" s="174" t="s">
        <v>152</v>
      </c>
      <c r="B32" s="175"/>
      <c r="C32" s="175"/>
      <c r="D32" s="176"/>
      <c r="E32" s="2"/>
      <c r="F32" s="171">
        <f>IF($F$29="Formule 1",DD9,IF($F$29="Formule 2",DD10,IF($F$29="Formule 4",DD11,IF($F$29="Formule 5",DD12,IF($F$29="Formule 6",DD13,IF($F$29="Formule 7",DD14))))))</f>
        <v>0</v>
      </c>
      <c r="G32" s="172"/>
    </row>
    <row r="33" spans="1:7" s="6" customFormat="1" ht="15.6" customHeight="1" x14ac:dyDescent="0.3">
      <c r="A33" s="174" t="s">
        <v>153</v>
      </c>
      <c r="B33" s="175"/>
      <c r="C33" s="175"/>
      <c r="D33" s="176"/>
      <c r="E33" s="2"/>
      <c r="F33" s="180">
        <f>IF($F$29="Formule 1",DF9,IF($F$29="Formule 2",DF10,IF($F$29="Formule 4",DF11,IF($F$29="Formule 5",DF12,IF($F$29="Formule 6",DF13,IF($F$29="Formule 7",DF14))))))</f>
        <v>0</v>
      </c>
      <c r="G33" s="181"/>
    </row>
    <row r="34" spans="1:7" s="6" customFormat="1" ht="15.6" customHeight="1" x14ac:dyDescent="0.3">
      <c r="A34" s="161" t="s">
        <v>78</v>
      </c>
      <c r="B34" s="162"/>
      <c r="C34" s="162"/>
      <c r="D34" s="173"/>
      <c r="E34" s="2"/>
      <c r="F34" s="180">
        <f>IF($F$29="Formule 1",DH9,IF($F$29="Formule 2",DH10,IF($F$29="Formule 4",DH11,IF($F$29="Formule 5",DH12,IF($F$29="Formule 6",DH13,IF($F$29="Formule 7",DH14))))))</f>
        <v>0</v>
      </c>
      <c r="G34" s="181"/>
    </row>
    <row r="35" spans="1:7" s="6" customFormat="1" ht="15.6" customHeight="1" x14ac:dyDescent="0.3">
      <c r="A35" s="161" t="s">
        <v>275</v>
      </c>
      <c r="B35" s="162"/>
      <c r="C35" s="162"/>
      <c r="D35" s="173"/>
      <c r="E35" s="2"/>
      <c r="F35" s="180">
        <f>IF($F$29="Formule 1",DJ9,IF($F$29="Formule 2",DJ10,IF($F$29="Formule 4",DJ11,IF($F$29="Formule 5",DJ12,IF($F$29="Formule 6",DJ13,IF($F$29="Formule 7",DJ14))))))</f>
        <v>0</v>
      </c>
      <c r="G35" s="181"/>
    </row>
    <row r="36" spans="1:7" s="6" customFormat="1" ht="15.6" customHeight="1" x14ac:dyDescent="0.3">
      <c r="A36" s="161" t="s">
        <v>271</v>
      </c>
      <c r="B36" s="162"/>
      <c r="C36" s="162"/>
      <c r="D36" s="173"/>
      <c r="E36" s="2"/>
      <c r="F36" s="180">
        <f>IF($F$29="Formule 1",DL9,IF($F$29="Formule 2",DL10,IF($F$29="Formule 4",DL11,IF($F$29="Formule 5",DL12,IF($F$29="Formule 6",DL13,IF($F$29="Formule 7",DL14))))))</f>
        <v>0</v>
      </c>
      <c r="G36" s="181"/>
    </row>
    <row r="37" spans="1:7" s="6" customFormat="1" ht="15.6" customHeight="1" x14ac:dyDescent="0.3">
      <c r="A37" s="161" t="s">
        <v>272</v>
      </c>
      <c r="B37" s="162"/>
      <c r="C37" s="162"/>
      <c r="D37" s="173"/>
      <c r="E37" s="2"/>
      <c r="F37" s="180">
        <f>IF($F$29="Formule 1",DN9,IF($F$29="Formule 2",DN10,IF($F$29="Formule 4",DN11,IF($F$29="Formule 5",DN12,IF($F$29="Formule 6",DN13,IF($F$29="Formule 7",DN14))))))</f>
        <v>0</v>
      </c>
      <c r="G37" s="181"/>
    </row>
    <row r="38" spans="1:7" s="6" customFormat="1" ht="15.6" customHeight="1" x14ac:dyDescent="0.3">
      <c r="A38" s="161" t="s">
        <v>273</v>
      </c>
      <c r="B38" s="162"/>
      <c r="C38" s="162"/>
      <c r="D38" s="173"/>
      <c r="E38" s="2"/>
      <c r="F38" s="180">
        <f>IF($F$29="Formule 1",DP9,IF($F$29="Formule 2",DP10,IF($F$29="Formule 4",DP11,IF($F$29="Formule 5",DP12,IF($F$29="Formule 6",DP13,IF($F$29="Formule 7",DP14))))))</f>
        <v>9.75273476267005</v>
      </c>
      <c r="G38" s="181"/>
    </row>
    <row r="39" spans="1:7" s="6" customFormat="1" ht="15.6" customHeight="1" x14ac:dyDescent="0.3">
      <c r="A39" s="161" t="s">
        <v>274</v>
      </c>
      <c r="B39" s="162"/>
      <c r="C39" s="162"/>
      <c r="D39" s="173"/>
      <c r="E39" s="2"/>
      <c r="F39" s="180">
        <f>IF($F$29="Formule 1",DR9,IF($F$29="Formule 2",DR10,IF($F$29="Formule 4",DR11,IF($F$29="Formule 5",DR12,IF($F$29="Formule 6",DR13,IF($F$29="Formule 7",DR14))))))</f>
        <v>557.85642842472691</v>
      </c>
      <c r="G39" s="181"/>
    </row>
    <row r="40" spans="1:7" s="6" customFormat="1" ht="15.6" customHeight="1" x14ac:dyDescent="0.3">
      <c r="A40" s="161" t="s">
        <v>72</v>
      </c>
      <c r="B40" s="162"/>
      <c r="C40" s="162"/>
      <c r="D40" s="173"/>
      <c r="E40" s="2"/>
      <c r="F40" s="180">
        <f>IF($F$29="Formule 1",DT9,IF($F$29="Formule 2",DT10,IF($F$29="Formule 4",DT11,IF($F$29="Formule 5",DT12,IF($F$29="Formule 6",DT13,IF($F$29="Formule 7",DT14))))))</f>
        <v>0</v>
      </c>
      <c r="G40" s="181"/>
    </row>
    <row r="41" spans="1:7" s="6" customFormat="1" ht="15.6" customHeight="1" x14ac:dyDescent="0.3">
      <c r="A41" s="161" t="s">
        <v>155</v>
      </c>
      <c r="B41" s="162"/>
      <c r="C41" s="162"/>
      <c r="D41" s="173"/>
      <c r="E41" s="2"/>
      <c r="F41" s="180">
        <f>IF($F$29="Formule 1",DX9,IF($F$29="Formule 2",DX10,IF($F$29="Formule 4",DX11,IF($F$29="Formule 5",DX12,IF($F$29="Formule 6",DX13,IF($F$29="Formule 7",DX14))))))</f>
        <v>0</v>
      </c>
      <c r="G41" s="181"/>
    </row>
    <row r="42" spans="1:7" s="6" customFormat="1" ht="15.6" customHeight="1" x14ac:dyDescent="0.3">
      <c r="A42" s="161" t="s">
        <v>149</v>
      </c>
      <c r="B42" s="162"/>
      <c r="C42" s="162"/>
      <c r="D42" s="173"/>
      <c r="E42" s="2"/>
      <c r="F42" s="180">
        <f>IF($F$29="Formule 1",DV9,IF($F$29="Formule 2",DV10,IF($F$29="Formule 4",DV11,IF($F$29="Formule 5",DV12,IF($F$29="Formule 6",DV13,IF($F$29="Formule 7",DV14))))))</f>
        <v>557.85642842472691</v>
      </c>
      <c r="G42" s="181"/>
    </row>
    <row r="43" spans="1:7" s="6" customFormat="1" ht="15.6" customHeight="1" thickBot="1" x14ac:dyDescent="0.35">
      <c r="A43" s="161" t="s">
        <v>14</v>
      </c>
      <c r="B43" s="162"/>
      <c r="C43" s="162"/>
      <c r="D43" s="173"/>
      <c r="E43" s="2"/>
      <c r="F43" s="171">
        <v>0.9</v>
      </c>
      <c r="G43" s="172"/>
    </row>
    <row r="44" spans="1:7" s="6" customFormat="1" ht="18" customHeight="1" thickBot="1" x14ac:dyDescent="0.35">
      <c r="A44" s="273" t="s">
        <v>122</v>
      </c>
      <c r="B44" s="274"/>
      <c r="C44" s="274"/>
      <c r="D44" s="274"/>
      <c r="E44" s="274"/>
      <c r="F44" s="274"/>
      <c r="G44" s="275"/>
    </row>
    <row r="45" spans="1:7" s="6" customFormat="1" ht="19.95" customHeight="1" x14ac:dyDescent="0.3">
      <c r="A45" s="184" t="s">
        <v>86</v>
      </c>
      <c r="B45" s="185"/>
      <c r="C45" s="185"/>
      <c r="D45" s="186"/>
      <c r="E45" s="2"/>
      <c r="F45" s="165">
        <f>IF($F$29="Formule 1",DZ9*F43,IF($F$29="Formule 2",DZ10*F43,IF($F$29="Formule 4",DZ11*F43,IF($F$29="Formule 5",DZ12*F43,IF($F$29="Formule 6",DZ13*F43,IF($F$29="Formule 7",DZ14*F43))))))</f>
        <v>502.07078558225425</v>
      </c>
      <c r="G45" s="166"/>
    </row>
    <row r="46" spans="1:7" s="6" customFormat="1" ht="19.95" customHeight="1" x14ac:dyDescent="0.3">
      <c r="A46" s="184" t="s">
        <v>57</v>
      </c>
      <c r="B46" s="185"/>
      <c r="C46" s="185"/>
      <c r="D46" s="186"/>
      <c r="E46" s="2"/>
      <c r="F46" s="167">
        <f>IF($F$29="Formule 1",EB9,IF($F$29="Formule 2",EB10,IF($F$29="Formule 4",EB11,IF($F$29="Formule 5",EB12,IF($F$29="Formule 6",EB13,IF($F$29="Formule 7",EB14))))))</f>
        <v>0</v>
      </c>
      <c r="G46" s="168"/>
    </row>
    <row r="47" spans="1:7" s="10" customFormat="1" ht="19.95" customHeight="1" thickBot="1" x14ac:dyDescent="0.35">
      <c r="A47" s="187" t="s">
        <v>87</v>
      </c>
      <c r="B47" s="188"/>
      <c r="C47" s="188"/>
      <c r="D47" s="189"/>
      <c r="E47" s="39"/>
      <c r="F47" s="169">
        <f>IF($F$29="Formule 1",ED9*F43,IF($F$29="Formule 2",ED10*F43,IF($F$29="Formule 4",ED11*F43,IF($F$29="Formule 5",ED12*F43,IF($F$29="Formule 6",ED13*F43,IF($F$29="Formule 7",ED14*F43))))))</f>
        <v>0</v>
      </c>
      <c r="G47" s="170"/>
    </row>
    <row r="48" spans="1:7" s="10" customFormat="1" ht="7.8" customHeight="1" thickBot="1" x14ac:dyDescent="0.35">
      <c r="A48" s="8"/>
      <c r="B48" s="9"/>
      <c r="C48" s="9"/>
      <c r="D48" s="9"/>
      <c r="E48" s="1"/>
      <c r="F48" s="11"/>
      <c r="G48" s="11"/>
    </row>
    <row r="49" spans="1:7" x14ac:dyDescent="0.3">
      <c r="A49" s="265" t="s">
        <v>156</v>
      </c>
      <c r="B49" s="266"/>
      <c r="C49" s="266"/>
      <c r="D49" s="266"/>
      <c r="E49" s="266"/>
      <c r="F49" s="266"/>
      <c r="G49" s="267"/>
    </row>
    <row r="50" spans="1:7" x14ac:dyDescent="0.3">
      <c r="A50" s="268"/>
      <c r="B50" s="269"/>
      <c r="C50" s="269"/>
      <c r="D50" s="269"/>
      <c r="E50" s="269"/>
      <c r="F50" s="269"/>
      <c r="G50" s="270"/>
    </row>
    <row r="51" spans="1:7" x14ac:dyDescent="0.3">
      <c r="A51" s="53"/>
      <c r="B51" s="54"/>
      <c r="C51" s="54"/>
      <c r="D51" s="54"/>
      <c r="E51" s="55"/>
      <c r="F51" s="56"/>
      <c r="G51" s="57"/>
    </row>
    <row r="52" spans="1:7" x14ac:dyDescent="0.3">
      <c r="A52" s="156"/>
      <c r="B52" s="157"/>
      <c r="C52" s="157"/>
      <c r="D52" s="157"/>
      <c r="E52" s="119"/>
      <c r="F52" s="58"/>
      <c r="G52" s="65"/>
    </row>
    <row r="53" spans="1:7" x14ac:dyDescent="0.3">
      <c r="A53" s="63" t="s">
        <v>114</v>
      </c>
      <c r="B53" s="58"/>
      <c r="C53" s="58"/>
      <c r="D53" s="54"/>
      <c r="E53" s="59" t="s">
        <v>115</v>
      </c>
      <c r="F53" s="56"/>
      <c r="G53" s="57"/>
    </row>
    <row r="54" spans="1:7" x14ac:dyDescent="0.3">
      <c r="A54" s="53"/>
      <c r="B54" s="54"/>
      <c r="C54" s="54"/>
      <c r="D54" s="54"/>
      <c r="E54" s="55"/>
      <c r="F54" s="56"/>
      <c r="G54" s="57"/>
    </row>
    <row r="55" spans="1:7" x14ac:dyDescent="0.3">
      <c r="A55" s="156"/>
      <c r="B55" s="157"/>
      <c r="C55" s="157"/>
      <c r="D55" s="157"/>
      <c r="E55" s="157"/>
      <c r="F55" s="56"/>
      <c r="G55" s="57"/>
    </row>
    <row r="56" spans="1:7" ht="15" thickBot="1" x14ac:dyDescent="0.35">
      <c r="A56" s="64" t="s">
        <v>116</v>
      </c>
      <c r="B56" s="60"/>
      <c r="C56" s="60"/>
      <c r="D56" s="60"/>
      <c r="E56" s="60"/>
      <c r="F56" s="61"/>
      <c r="G56" s="62"/>
    </row>
  </sheetData>
  <sheetProtection algorithmName="SHA-512" hashValue="jKT+ZQZk8dS4+UPsZrqMOQJ6IvWdPKy5/KZquEsp28JehsfT2kfaNIR8/iUvGBuBF5HsnF9cdVdhF8XGOXp25Q==" saltValue="XSKt/04ifweDzT9XQTZvxQ==" spinCount="100000" sheet="1" objects="1" scenarios="1" selectLockedCells="1"/>
  <mergeCells count="174">
    <mergeCell ref="A49:G50"/>
    <mergeCell ref="A52:D52"/>
    <mergeCell ref="F5:G5"/>
    <mergeCell ref="A4:G4"/>
    <mergeCell ref="A10:G10"/>
    <mergeCell ref="A15:G15"/>
    <mergeCell ref="A44:G44"/>
    <mergeCell ref="ED14:EE14"/>
    <mergeCell ref="DX14:DY14"/>
    <mergeCell ref="DZ14:EA14"/>
    <mergeCell ref="EB13:EC13"/>
    <mergeCell ref="DD14:DE14"/>
    <mergeCell ref="DJ7:DK7"/>
    <mergeCell ref="DL7:DM7"/>
    <mergeCell ref="DH7:DI7"/>
    <mergeCell ref="DH9:DI9"/>
    <mergeCell ref="DJ10:DK10"/>
    <mergeCell ref="DL10:DM10"/>
    <mergeCell ref="DJ13:DK13"/>
    <mergeCell ref="DH10:DI10"/>
    <mergeCell ref="DH12:DI12"/>
    <mergeCell ref="DF7:DG7"/>
    <mergeCell ref="DF9:DG9"/>
    <mergeCell ref="DD13:DE13"/>
    <mergeCell ref="ED11:EE11"/>
    <mergeCell ref="DZ11:EA11"/>
    <mergeCell ref="EB11:EC11"/>
    <mergeCell ref="DR11:DS11"/>
    <mergeCell ref="DT11:DU11"/>
    <mergeCell ref="DV11:DW11"/>
    <mergeCell ref="DX11:DY11"/>
    <mergeCell ref="EB12:EC12"/>
    <mergeCell ref="DX13:DY13"/>
    <mergeCell ref="DX12:DY12"/>
    <mergeCell ref="DZ12:EA12"/>
    <mergeCell ref="F8:G8"/>
    <mergeCell ref="F42:G42"/>
    <mergeCell ref="DD7:DE7"/>
    <mergeCell ref="DD9:DE9"/>
    <mergeCell ref="DT13:DU13"/>
    <mergeCell ref="DV13:DW13"/>
    <mergeCell ref="DL13:DM13"/>
    <mergeCell ref="DP13:DQ13"/>
    <mergeCell ref="DR13:DS13"/>
    <mergeCell ref="DN13:DO13"/>
    <mergeCell ref="F7:G7"/>
    <mergeCell ref="DF13:DG13"/>
    <mergeCell ref="DH11:DI11"/>
    <mergeCell ref="DF12:DG12"/>
    <mergeCell ref="DL9:DM9"/>
    <mergeCell ref="DJ9:DK9"/>
    <mergeCell ref="DF14:DG14"/>
    <mergeCell ref="DH14:DI14"/>
    <mergeCell ref="DB7:DC7"/>
    <mergeCell ref="DP12:DQ12"/>
    <mergeCell ref="DR12:DS12"/>
    <mergeCell ref="DT12:DU12"/>
    <mergeCell ref="DV12:DW12"/>
    <mergeCell ref="DN12:DO12"/>
    <mergeCell ref="A39:D39"/>
    <mergeCell ref="A40:D40"/>
    <mergeCell ref="A42:D42"/>
    <mergeCell ref="DZ13:EA13"/>
    <mergeCell ref="DP10:DQ10"/>
    <mergeCell ref="DN10:DO10"/>
    <mergeCell ref="DN11:DO11"/>
    <mergeCell ref="DP14:DQ14"/>
    <mergeCell ref="DJ14:DK14"/>
    <mergeCell ref="DL14:DM14"/>
    <mergeCell ref="DN14:DO14"/>
    <mergeCell ref="DJ12:DK12"/>
    <mergeCell ref="DJ11:DK11"/>
    <mergeCell ref="DL11:DM11"/>
    <mergeCell ref="DP11:DQ11"/>
    <mergeCell ref="DD10:DE10"/>
    <mergeCell ref="DD11:DE11"/>
    <mergeCell ref="A32:D32"/>
    <mergeCell ref="A33:D33"/>
    <mergeCell ref="A35:D35"/>
    <mergeCell ref="DZ10:EA10"/>
    <mergeCell ref="DT10:DU10"/>
    <mergeCell ref="DV10:DW10"/>
    <mergeCell ref="DX10:DY10"/>
    <mergeCell ref="A9:D9"/>
    <mergeCell ref="F21:G21"/>
    <mergeCell ref="F17:G17"/>
    <mergeCell ref="F18:G18"/>
    <mergeCell ref="F19:G19"/>
    <mergeCell ref="DB12:DC12"/>
    <mergeCell ref="DB11:DC11"/>
    <mergeCell ref="E30:G30"/>
    <mergeCell ref="F22:G22"/>
    <mergeCell ref="F13:G13"/>
    <mergeCell ref="F16:G16"/>
    <mergeCell ref="F14:G14"/>
    <mergeCell ref="F12:G12"/>
    <mergeCell ref="DB13:DC13"/>
    <mergeCell ref="DB9:DC9"/>
    <mergeCell ref="F11:G11"/>
    <mergeCell ref="A23:A28"/>
    <mergeCell ref="F9:G9"/>
    <mergeCell ref="DB10:DC10"/>
    <mergeCell ref="F35:G35"/>
    <mergeCell ref="F36:G36"/>
    <mergeCell ref="F23:G28"/>
    <mergeCell ref="F29:G29"/>
    <mergeCell ref="F31:G31"/>
    <mergeCell ref="F20:G20"/>
    <mergeCell ref="ED9:EE9"/>
    <mergeCell ref="EB9:EC9"/>
    <mergeCell ref="DZ9:EA9"/>
    <mergeCell ref="DX9:DY9"/>
    <mergeCell ref="DV9:DW9"/>
    <mergeCell ref="DT9:DU9"/>
    <mergeCell ref="DR9:DS9"/>
    <mergeCell ref="DP9:DQ9"/>
    <mergeCell ref="DN9:DO9"/>
    <mergeCell ref="EB14:EC14"/>
    <mergeCell ref="DR14:DS14"/>
    <mergeCell ref="DT14:DU14"/>
    <mergeCell ref="DV14:DW14"/>
    <mergeCell ref="ED13:EE13"/>
    <mergeCell ref="EB10:EC10"/>
    <mergeCell ref="ED10:EE10"/>
    <mergeCell ref="ED12:EE12"/>
    <mergeCell ref="DR10:DS10"/>
    <mergeCell ref="A47:D47"/>
    <mergeCell ref="DL12:DM12"/>
    <mergeCell ref="DH13:DI13"/>
    <mergeCell ref="DF10:DG10"/>
    <mergeCell ref="DF11:DG11"/>
    <mergeCell ref="DB14:DC14"/>
    <mergeCell ref="A16:B18"/>
    <mergeCell ref="C16:E16"/>
    <mergeCell ref="C17:E17"/>
    <mergeCell ref="C18:E18"/>
    <mergeCell ref="A11:E11"/>
    <mergeCell ref="A12:E12"/>
    <mergeCell ref="A13:E13"/>
    <mergeCell ref="A14:E14"/>
    <mergeCell ref="A19:E19"/>
    <mergeCell ref="A20:E20"/>
    <mergeCell ref="A21:E21"/>
    <mergeCell ref="A22:E22"/>
    <mergeCell ref="DD12:DE12"/>
    <mergeCell ref="F41:G41"/>
    <mergeCell ref="F37:G37"/>
    <mergeCell ref="F32:G32"/>
    <mergeCell ref="F33:G33"/>
    <mergeCell ref="F34:G34"/>
    <mergeCell ref="A55:E55"/>
    <mergeCell ref="A1:G1"/>
    <mergeCell ref="A6:D6"/>
    <mergeCell ref="A7:D7"/>
    <mergeCell ref="A8:D8"/>
    <mergeCell ref="A2:D2"/>
    <mergeCell ref="F45:G45"/>
    <mergeCell ref="F46:G46"/>
    <mergeCell ref="F47:G47"/>
    <mergeCell ref="F43:G43"/>
    <mergeCell ref="A34:D34"/>
    <mergeCell ref="A31:D31"/>
    <mergeCell ref="A3:G3"/>
    <mergeCell ref="F38:G38"/>
    <mergeCell ref="F39:G39"/>
    <mergeCell ref="F40:G40"/>
    <mergeCell ref="F6:G6"/>
    <mergeCell ref="A41:D41"/>
    <mergeCell ref="A36:D36"/>
    <mergeCell ref="A37:D37"/>
    <mergeCell ref="A38:D38"/>
    <mergeCell ref="A45:D45"/>
    <mergeCell ref="A46:D46"/>
    <mergeCell ref="A43:D43"/>
  </mergeCells>
  <dataValidations count="11">
    <dataValidation type="list" allowBlank="1" showInputMessage="1" showErrorMessage="1" sqref="F29:G29">
      <formula1>formule</formula1>
    </dataValidation>
    <dataValidation type="list" allowBlank="1" showInputMessage="1" showErrorMessage="1" error="Inscrire Opérateur ou Martelage" sqref="F11:G11">
      <formula1>Tigerécoltée</formula1>
    </dataValidation>
    <dataValidation type="decimal" allowBlank="1" showInputMessage="1" showErrorMessage="1" error="Doit être supérieur ou égal à 15m pour être éligible à cette majoration" sqref="F20:G20">
      <formula1>15</formula1>
      <formula2>999</formula2>
    </dataValidation>
    <dataValidation type="list" allowBlank="1" showInputMessage="1" showErrorMessage="1" error="Maximum de 3,2% de majoration" sqref="F21:G21">
      <formula1>heberg</formula1>
    </dataValidation>
    <dataValidation type="list" allowBlank="1" showInputMessage="1" showErrorMessage="1" error="Inscrire 0% ou 40%" sqref="F22:G22">
      <formula1>manuel</formula1>
    </dataValidation>
    <dataValidation type="decimal" allowBlank="1" showInputMessage="1" showErrorMessage="1" error="Champ numérique positif" sqref="F12:G12 E24:E28">
      <formula1>0</formula1>
      <formula2>9999</formula2>
    </dataValidation>
    <dataValidation type="decimal" allowBlank="1" showInputMessage="1" showErrorMessage="1" error="Champ numérique positif" sqref="F13:G13">
      <formula1>0</formula1>
      <formula2>4</formula2>
    </dataValidation>
    <dataValidation type="decimal" allowBlank="1" showInputMessage="1" showErrorMessage="1" error="Champ numérique positif_x000a_" sqref="F16:G18">
      <formula1>0</formula1>
      <formula2>9999</formula2>
    </dataValidation>
    <dataValidation type="decimal" allowBlank="1" showInputMessage="1" showErrorMessage="1" error="Maximum de 50%" sqref="F19:G19">
      <formula1>0</formula1>
      <formula2>0.5</formula2>
    </dataValidation>
    <dataValidation type="decimal" allowBlank="1" showInputMessage="1" showErrorMessage="1" error="Volume en m3/tige" sqref="F14:G14">
      <formula1>0</formula1>
      <formula2>3</formula2>
    </dataValidation>
    <dataValidation type="list" allowBlank="1" showInputMessage="1" showErrorMessage="1" sqref="F5:G5">
      <formula1>UAF</formula1>
    </dataValidation>
  </dataValidations>
  <pageMargins left="0.82677165354330717" right="0.65" top="0.39370078740157483" bottom="0.45" header="0.31496062992125984" footer="0.23622047244094491"/>
  <pageSetup paperSize="5" scale="98" orientation="portrait" r:id="rId1"/>
  <headerFooter>
    <oddFooter>&amp;LBMMB&amp;R2016-05-11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191"/>
  <sheetViews>
    <sheetView showGridLines="0" zoomScaleNormal="100" workbookViewId="0">
      <selection activeCell="F5" sqref="F5:G5"/>
    </sheetView>
  </sheetViews>
  <sheetFormatPr baseColWidth="10" defaultRowHeight="14.4" x14ac:dyDescent="0.3"/>
  <cols>
    <col min="1" max="1" width="13.88671875" style="30" customWidth="1"/>
    <col min="2" max="2" width="6.5546875" style="30" customWidth="1"/>
    <col min="3" max="3" width="12.88671875" style="30" customWidth="1"/>
    <col min="4" max="4" width="15.88671875" style="30" customWidth="1"/>
    <col min="5" max="5" width="19" style="40" customWidth="1"/>
    <col min="6" max="6" width="11.5546875" style="31" customWidth="1"/>
    <col min="7" max="7" width="10.77734375" style="31" customWidth="1"/>
    <col min="8" max="101" width="11.5546875" style="30" customWidth="1"/>
    <col min="102" max="103" width="11.5546875" style="30" hidden="1" customWidth="1"/>
    <col min="104" max="104" width="11.5546875" style="40" hidden="1" customWidth="1"/>
    <col min="105" max="105" width="11.5546875" style="30" hidden="1" customWidth="1"/>
    <col min="106" max="16384" width="11.5546875" style="30"/>
  </cols>
  <sheetData>
    <row r="1" spans="1:105" ht="9" customHeight="1" thickBot="1" x14ac:dyDescent="0.35">
      <c r="A1" s="286"/>
      <c r="B1" s="287"/>
      <c r="C1" s="287"/>
      <c r="D1" s="287"/>
      <c r="E1" s="287"/>
      <c r="F1" s="287"/>
      <c r="G1" s="288"/>
    </row>
    <row r="2" spans="1:105" s="29" customFormat="1" ht="101.25" customHeight="1" thickBot="1" x14ac:dyDescent="0.35">
      <c r="A2" s="289" t="s">
        <v>88</v>
      </c>
      <c r="B2" s="290"/>
      <c r="C2" s="290"/>
      <c r="D2" s="291"/>
      <c r="E2" s="68"/>
      <c r="F2" s="69"/>
      <c r="G2" s="70"/>
      <c r="CZ2" s="41"/>
    </row>
    <row r="3" spans="1:105" ht="9" customHeight="1" thickBot="1" x14ac:dyDescent="0.35">
      <c r="A3" s="292"/>
      <c r="B3" s="293"/>
      <c r="C3" s="293"/>
      <c r="D3" s="293"/>
      <c r="E3" s="293"/>
      <c r="F3" s="293"/>
      <c r="G3" s="294"/>
    </row>
    <row r="4" spans="1:105" ht="19.95" customHeight="1" thickBot="1" x14ac:dyDescent="0.35">
      <c r="A4" s="297" t="s">
        <v>113</v>
      </c>
      <c r="B4" s="298"/>
      <c r="C4" s="298"/>
      <c r="D4" s="298"/>
      <c r="E4" s="298"/>
      <c r="F4" s="298"/>
      <c r="G4" s="299"/>
      <c r="CX4" s="30" t="s">
        <v>0</v>
      </c>
      <c r="CY4" s="43" t="s">
        <v>94</v>
      </c>
      <c r="CZ4" s="40" t="s">
        <v>95</v>
      </c>
      <c r="DA4" s="30" t="s">
        <v>91</v>
      </c>
    </row>
    <row r="5" spans="1:105" ht="15.6" customHeight="1" x14ac:dyDescent="0.3">
      <c r="A5" s="295" t="s">
        <v>0</v>
      </c>
      <c r="B5" s="296"/>
      <c r="C5" s="296"/>
      <c r="D5" s="296"/>
      <c r="E5" s="42"/>
      <c r="F5" s="300"/>
      <c r="G5" s="301"/>
      <c r="CY5" s="43"/>
      <c r="CZ5" s="51"/>
      <c r="DA5" s="30" t="s">
        <v>92</v>
      </c>
    </row>
    <row r="6" spans="1:105" s="33" customFormat="1" ht="15.6" customHeight="1" x14ac:dyDescent="0.3">
      <c r="A6" s="284" t="s">
        <v>82</v>
      </c>
      <c r="B6" s="285"/>
      <c r="C6" s="285"/>
      <c r="D6" s="285"/>
      <c r="E6" s="44"/>
      <c r="F6" s="182"/>
      <c r="G6" s="183"/>
      <c r="CX6" s="31" t="s">
        <v>160</v>
      </c>
      <c r="CY6" s="43">
        <v>151</v>
      </c>
      <c r="CZ6" s="45">
        <v>0</v>
      </c>
      <c r="DA6" s="30"/>
    </row>
    <row r="7" spans="1:105" ht="15.6" customHeight="1" x14ac:dyDescent="0.3">
      <c r="A7" s="284" t="s">
        <v>83</v>
      </c>
      <c r="B7" s="285"/>
      <c r="C7" s="285"/>
      <c r="D7" s="285"/>
      <c r="E7" s="44"/>
      <c r="F7" s="182"/>
      <c r="G7" s="183"/>
      <c r="CX7" s="30" t="s">
        <v>161</v>
      </c>
      <c r="CY7" s="43">
        <v>152</v>
      </c>
      <c r="CZ7" s="45">
        <v>0</v>
      </c>
    </row>
    <row r="8" spans="1:105" ht="15.6" customHeight="1" x14ac:dyDescent="0.3">
      <c r="A8" s="284" t="s">
        <v>84</v>
      </c>
      <c r="B8" s="285"/>
      <c r="C8" s="285"/>
      <c r="D8" s="285"/>
      <c r="E8" s="44"/>
      <c r="F8" s="263"/>
      <c r="G8" s="261"/>
      <c r="CX8" s="30" t="s">
        <v>162</v>
      </c>
      <c r="CY8" s="43">
        <v>153</v>
      </c>
      <c r="CZ8" s="45">
        <v>0</v>
      </c>
    </row>
    <row r="9" spans="1:105" ht="15.6" customHeight="1" thickBot="1" x14ac:dyDescent="0.35">
      <c r="A9" s="280" t="s">
        <v>85</v>
      </c>
      <c r="B9" s="281"/>
      <c r="C9" s="281"/>
      <c r="D9" s="281"/>
      <c r="E9" s="46"/>
      <c r="F9" s="282"/>
      <c r="G9" s="283"/>
      <c r="CX9" s="30" t="s">
        <v>163</v>
      </c>
      <c r="CY9" s="43">
        <v>154</v>
      </c>
      <c r="CZ9" s="45">
        <v>0</v>
      </c>
    </row>
    <row r="10" spans="1:105" ht="19.95" customHeight="1" thickBot="1" x14ac:dyDescent="0.35">
      <c r="A10" s="297" t="s">
        <v>89</v>
      </c>
      <c r="B10" s="298"/>
      <c r="C10" s="298"/>
      <c r="D10" s="298"/>
      <c r="E10" s="298"/>
      <c r="F10" s="298"/>
      <c r="G10" s="299"/>
      <c r="CX10" s="30" t="s">
        <v>164</v>
      </c>
      <c r="CY10" s="43">
        <v>155</v>
      </c>
      <c r="CZ10" s="45">
        <v>0</v>
      </c>
    </row>
    <row r="11" spans="1:105" ht="15.6" customHeight="1" x14ac:dyDescent="0.3">
      <c r="A11" s="295" t="s">
        <v>159</v>
      </c>
      <c r="B11" s="296"/>
      <c r="C11" s="296"/>
      <c r="D11" s="296"/>
      <c r="E11" s="343"/>
      <c r="F11" s="278"/>
      <c r="G11" s="279"/>
      <c r="CX11" s="30" t="s">
        <v>165</v>
      </c>
      <c r="CY11" s="43">
        <v>156</v>
      </c>
      <c r="CZ11" s="45">
        <v>0</v>
      </c>
    </row>
    <row r="12" spans="1:105" ht="15.6" customHeight="1" x14ac:dyDescent="0.3">
      <c r="A12" s="284" t="s">
        <v>158</v>
      </c>
      <c r="B12" s="285"/>
      <c r="C12" s="285"/>
      <c r="D12" s="285"/>
      <c r="E12" s="344"/>
      <c r="F12" s="345"/>
      <c r="G12" s="249"/>
      <c r="CX12" s="30" t="s">
        <v>166</v>
      </c>
      <c r="CY12" s="43">
        <v>157</v>
      </c>
      <c r="CZ12" s="45">
        <v>0</v>
      </c>
    </row>
    <row r="13" spans="1:105" ht="15.6" customHeight="1" x14ac:dyDescent="0.3">
      <c r="A13" s="284" t="s">
        <v>90</v>
      </c>
      <c r="B13" s="285"/>
      <c r="C13" s="285"/>
      <c r="D13" s="285"/>
      <c r="E13" s="344"/>
      <c r="F13" s="345"/>
      <c r="G13" s="249"/>
      <c r="CX13" s="30" t="s">
        <v>167</v>
      </c>
      <c r="CY13" s="43">
        <v>158</v>
      </c>
      <c r="CZ13" s="45">
        <v>0</v>
      </c>
    </row>
    <row r="14" spans="1:105" ht="15.6" customHeight="1" x14ac:dyDescent="0.3">
      <c r="A14" s="309" t="s">
        <v>93</v>
      </c>
      <c r="B14" s="310"/>
      <c r="C14" s="310"/>
      <c r="D14" s="310"/>
      <c r="E14" s="311"/>
      <c r="F14" s="306"/>
      <c r="G14" s="244"/>
      <c r="CX14" s="30" t="s">
        <v>168</v>
      </c>
      <c r="CY14" s="43">
        <v>180</v>
      </c>
      <c r="CZ14" s="45">
        <v>0</v>
      </c>
    </row>
    <row r="15" spans="1:105" ht="15.6" customHeight="1" thickBot="1" x14ac:dyDescent="0.35">
      <c r="A15" s="312" t="s">
        <v>104</v>
      </c>
      <c r="B15" s="313"/>
      <c r="C15" s="313"/>
      <c r="D15" s="313"/>
      <c r="E15" s="314"/>
      <c r="F15" s="276"/>
      <c r="G15" s="277"/>
      <c r="CX15" s="30" t="s">
        <v>169</v>
      </c>
      <c r="CY15" s="43">
        <v>181</v>
      </c>
      <c r="CZ15" s="45">
        <v>80</v>
      </c>
    </row>
    <row r="16" spans="1:105" ht="19.95" customHeight="1" thickBot="1" x14ac:dyDescent="0.35">
      <c r="A16" s="297" t="s">
        <v>119</v>
      </c>
      <c r="B16" s="298"/>
      <c r="C16" s="298"/>
      <c r="D16" s="298"/>
      <c r="E16" s="298"/>
      <c r="F16" s="298"/>
      <c r="G16" s="299"/>
      <c r="CX16" s="30" t="s">
        <v>170</v>
      </c>
      <c r="CY16" s="43">
        <v>182</v>
      </c>
      <c r="CZ16" s="45">
        <v>0</v>
      </c>
    </row>
    <row r="17" spans="1:104" ht="15.6" customHeight="1" x14ac:dyDescent="0.3">
      <c r="A17" s="336" t="s">
        <v>150</v>
      </c>
      <c r="B17" s="355"/>
      <c r="C17" s="355"/>
      <c r="D17" s="355"/>
      <c r="E17" s="355"/>
      <c r="F17" s="361"/>
      <c r="G17" s="362"/>
      <c r="CX17" s="30" t="s">
        <v>171</v>
      </c>
      <c r="CY17" s="43">
        <v>183</v>
      </c>
      <c r="CZ17" s="45">
        <v>0</v>
      </c>
    </row>
    <row r="18" spans="1:104" ht="15.6" customHeight="1" x14ac:dyDescent="0.3">
      <c r="A18" s="302" t="s">
        <v>117</v>
      </c>
      <c r="B18" s="325"/>
      <c r="C18" s="325"/>
      <c r="D18" s="325"/>
      <c r="E18" s="325"/>
      <c r="F18" s="304"/>
      <c r="G18" s="305"/>
      <c r="CX18" s="30" t="s">
        <v>172</v>
      </c>
      <c r="CY18" s="43">
        <v>184</v>
      </c>
      <c r="CZ18" s="45">
        <v>200</v>
      </c>
    </row>
    <row r="19" spans="1:104" ht="15.6" customHeight="1" x14ac:dyDescent="0.3">
      <c r="A19" s="302" t="s">
        <v>100</v>
      </c>
      <c r="B19" s="325"/>
      <c r="C19" s="325"/>
      <c r="D19" s="325"/>
      <c r="E19" s="325"/>
      <c r="F19" s="306">
        <v>1</v>
      </c>
      <c r="G19" s="244"/>
      <c r="CX19" s="30" t="s">
        <v>173</v>
      </c>
      <c r="CY19" s="43">
        <v>185</v>
      </c>
      <c r="CZ19" s="45">
        <v>80</v>
      </c>
    </row>
    <row r="20" spans="1:104" ht="15.6" customHeight="1" x14ac:dyDescent="0.3">
      <c r="A20" s="317" t="s">
        <v>105</v>
      </c>
      <c r="B20" s="318"/>
      <c r="C20" s="318"/>
      <c r="D20" s="318"/>
      <c r="E20" s="318"/>
      <c r="F20" s="315">
        <f>IF(ISBLANK(F18),0,(VLOOKUP(F18,CY6:CZ191,2,FALSE))*F19*F14)</f>
        <v>0</v>
      </c>
      <c r="G20" s="316"/>
      <c r="CX20" s="30" t="s">
        <v>174</v>
      </c>
      <c r="CY20" s="43">
        <v>186</v>
      </c>
      <c r="CZ20" s="45">
        <v>80</v>
      </c>
    </row>
    <row r="21" spans="1:104" ht="15.6" customHeight="1" x14ac:dyDescent="0.3">
      <c r="A21" s="309" t="s">
        <v>151</v>
      </c>
      <c r="B21" s="310"/>
      <c r="C21" s="310"/>
      <c r="D21" s="310"/>
      <c r="E21" s="310"/>
      <c r="F21" s="356"/>
      <c r="G21" s="357"/>
      <c r="CX21" s="30" t="s">
        <v>175</v>
      </c>
      <c r="CY21" s="43">
        <v>187</v>
      </c>
      <c r="CZ21" s="45">
        <v>140</v>
      </c>
    </row>
    <row r="22" spans="1:104" ht="15.6" customHeight="1" x14ac:dyDescent="0.3">
      <c r="A22" s="302" t="s">
        <v>100</v>
      </c>
      <c r="B22" s="325"/>
      <c r="C22" s="325"/>
      <c r="D22" s="325"/>
      <c r="E22" s="325"/>
      <c r="F22" s="375">
        <f>1-F19</f>
        <v>0</v>
      </c>
      <c r="G22" s="376"/>
      <c r="CX22" s="30" t="s">
        <v>176</v>
      </c>
      <c r="CY22" s="43">
        <v>190</v>
      </c>
      <c r="CZ22" s="45">
        <v>220</v>
      </c>
    </row>
    <row r="23" spans="1:104" ht="15.6" customHeight="1" x14ac:dyDescent="0.3">
      <c r="A23" s="302" t="s">
        <v>96</v>
      </c>
      <c r="B23" s="303"/>
      <c r="C23" s="303"/>
      <c r="D23" s="303"/>
      <c r="E23" s="303"/>
      <c r="F23" s="319"/>
      <c r="G23" s="320"/>
      <c r="CX23" s="30" t="s">
        <v>177</v>
      </c>
      <c r="CY23" s="43">
        <v>191</v>
      </c>
      <c r="CZ23" s="45">
        <v>220</v>
      </c>
    </row>
    <row r="24" spans="1:104" ht="15.6" customHeight="1" x14ac:dyDescent="0.3">
      <c r="A24" s="302" t="s">
        <v>97</v>
      </c>
      <c r="B24" s="303"/>
      <c r="C24" s="303"/>
      <c r="D24" s="303"/>
      <c r="E24" s="303"/>
      <c r="F24" s="319"/>
      <c r="G24" s="320"/>
      <c r="CX24" s="30" t="s">
        <v>178</v>
      </c>
      <c r="CY24" s="43">
        <v>192</v>
      </c>
      <c r="CZ24" s="45">
        <v>140</v>
      </c>
    </row>
    <row r="25" spans="1:104" ht="15.6" customHeight="1" x14ac:dyDescent="0.3">
      <c r="A25" s="302" t="s">
        <v>99</v>
      </c>
      <c r="B25" s="303"/>
      <c r="C25" s="303"/>
      <c r="D25" s="303"/>
      <c r="E25" s="303"/>
      <c r="F25" s="321"/>
      <c r="G25" s="322"/>
      <c r="CX25" s="30" t="s">
        <v>179</v>
      </c>
      <c r="CY25" s="43">
        <v>193</v>
      </c>
      <c r="CZ25" s="45">
        <v>80</v>
      </c>
    </row>
    <row r="26" spans="1:104" ht="15.6" customHeight="1" x14ac:dyDescent="0.3">
      <c r="A26" s="302" t="s">
        <v>98</v>
      </c>
      <c r="B26" s="303"/>
      <c r="C26" s="303"/>
      <c r="D26" s="303"/>
      <c r="E26" s="303"/>
      <c r="F26" s="323"/>
      <c r="G26" s="324"/>
      <c r="CX26" s="30" t="s">
        <v>180</v>
      </c>
      <c r="CY26" s="43">
        <v>194</v>
      </c>
      <c r="CZ26" s="45">
        <v>20</v>
      </c>
    </row>
    <row r="27" spans="1:104" ht="15.6" customHeight="1" x14ac:dyDescent="0.3">
      <c r="A27" s="317" t="s">
        <v>106</v>
      </c>
      <c r="B27" s="318"/>
      <c r="C27" s="318"/>
      <c r="D27" s="318"/>
      <c r="E27" s="318"/>
      <c r="F27" s="315">
        <f>IF(F23="",0,IF((F26*0.086-20)*20&lt;0,0,IF((F26*0.086-20)*20&lt;280,(F26*0.086-20)*20,280))*F22)*F14</f>
        <v>0</v>
      </c>
      <c r="G27" s="316"/>
      <c r="CX27" s="30" t="s">
        <v>181</v>
      </c>
      <c r="CY27" s="43">
        <v>195</v>
      </c>
      <c r="CZ27" s="45">
        <v>0</v>
      </c>
    </row>
    <row r="28" spans="1:104" ht="15.6" customHeight="1" thickBot="1" x14ac:dyDescent="0.35">
      <c r="A28" s="334" t="s">
        <v>107</v>
      </c>
      <c r="B28" s="335"/>
      <c r="C28" s="335"/>
      <c r="D28" s="335"/>
      <c r="E28" s="335"/>
      <c r="F28" s="326">
        <f>IF(AND(F11="OUI",F12="OUI",F13="OUI"),F20+F27,0)</f>
        <v>0</v>
      </c>
      <c r="G28" s="327"/>
      <c r="CX28" s="30" t="s">
        <v>182</v>
      </c>
      <c r="CY28" s="43">
        <v>240</v>
      </c>
      <c r="CZ28" s="45">
        <v>0</v>
      </c>
    </row>
    <row r="29" spans="1:104" ht="19.95" customHeight="1" thickBot="1" x14ac:dyDescent="0.35">
      <c r="A29" s="297" t="s">
        <v>101</v>
      </c>
      <c r="B29" s="298"/>
      <c r="C29" s="298"/>
      <c r="D29" s="298"/>
      <c r="E29" s="298"/>
      <c r="F29" s="298"/>
      <c r="G29" s="299"/>
      <c r="CX29" s="30" t="s">
        <v>183</v>
      </c>
      <c r="CY29" s="43">
        <v>241</v>
      </c>
      <c r="CZ29" s="45">
        <v>60</v>
      </c>
    </row>
    <row r="30" spans="1:104" ht="15.6" customHeight="1" x14ac:dyDescent="0.3">
      <c r="A30" s="336" t="s">
        <v>102</v>
      </c>
      <c r="B30" s="337"/>
      <c r="C30" s="337"/>
      <c r="D30" s="337"/>
      <c r="E30" s="338"/>
      <c r="F30" s="341"/>
      <c r="G30" s="342"/>
      <c r="CX30" s="30" t="s">
        <v>184</v>
      </c>
      <c r="CY30" s="43">
        <v>242</v>
      </c>
      <c r="CZ30" s="45">
        <v>140</v>
      </c>
    </row>
    <row r="31" spans="1:104" ht="15.6" customHeight="1" x14ac:dyDescent="0.3">
      <c r="A31" s="302" t="s">
        <v>157</v>
      </c>
      <c r="B31" s="303"/>
      <c r="C31" s="303"/>
      <c r="D31" s="303"/>
      <c r="E31" s="307"/>
      <c r="F31" s="306"/>
      <c r="G31" s="308"/>
      <c r="CX31" s="30" t="s">
        <v>185</v>
      </c>
      <c r="CY31" s="43">
        <v>243</v>
      </c>
      <c r="CZ31" s="45">
        <v>140</v>
      </c>
    </row>
    <row r="32" spans="1:104" ht="15.6" customHeight="1" x14ac:dyDescent="0.3">
      <c r="A32" s="302" t="s">
        <v>96</v>
      </c>
      <c r="B32" s="303"/>
      <c r="C32" s="303"/>
      <c r="D32" s="303"/>
      <c r="E32" s="307"/>
      <c r="F32" s="319"/>
      <c r="G32" s="328"/>
      <c r="CX32" s="30" t="s">
        <v>186</v>
      </c>
      <c r="CY32" s="43">
        <v>244</v>
      </c>
      <c r="CZ32" s="45">
        <v>260</v>
      </c>
    </row>
    <row r="33" spans="1:104" ht="15.6" customHeight="1" x14ac:dyDescent="0.3">
      <c r="A33" s="302" t="s">
        <v>97</v>
      </c>
      <c r="B33" s="303"/>
      <c r="C33" s="303"/>
      <c r="D33" s="303"/>
      <c r="E33" s="307"/>
      <c r="F33" s="319"/>
      <c r="G33" s="328"/>
      <c r="CX33" s="30" t="s">
        <v>187</v>
      </c>
      <c r="CY33" s="43">
        <v>245</v>
      </c>
      <c r="CZ33" s="45">
        <v>260</v>
      </c>
    </row>
    <row r="34" spans="1:104" ht="15.6" customHeight="1" x14ac:dyDescent="0.3">
      <c r="A34" s="302" t="s">
        <v>99</v>
      </c>
      <c r="B34" s="303"/>
      <c r="C34" s="303"/>
      <c r="D34" s="303"/>
      <c r="E34" s="307"/>
      <c r="F34" s="321"/>
      <c r="G34" s="329"/>
      <c r="CX34" s="30" t="s">
        <v>188</v>
      </c>
      <c r="CY34" s="43">
        <v>246</v>
      </c>
      <c r="CZ34" s="45">
        <v>260</v>
      </c>
    </row>
    <row r="35" spans="1:104" ht="15.6" customHeight="1" x14ac:dyDescent="0.3">
      <c r="A35" s="317" t="s">
        <v>108</v>
      </c>
      <c r="B35" s="318"/>
      <c r="C35" s="318"/>
      <c r="D35" s="318"/>
      <c r="E35" s="358"/>
      <c r="F35" s="315">
        <f>IF(AND(F11="OUI",F12="OUI",F13="OUI",F30="OUI",F33&lt;&gt;""),60,0)*F31</f>
        <v>0</v>
      </c>
      <c r="G35" s="330"/>
      <c r="CX35" s="30" t="s">
        <v>189</v>
      </c>
      <c r="CY35" s="43">
        <v>247</v>
      </c>
      <c r="CZ35" s="45">
        <v>280</v>
      </c>
    </row>
    <row r="36" spans="1:104" ht="15.6" customHeight="1" x14ac:dyDescent="0.3">
      <c r="A36" s="309" t="s">
        <v>103</v>
      </c>
      <c r="B36" s="359"/>
      <c r="C36" s="359"/>
      <c r="D36" s="359"/>
      <c r="E36" s="360"/>
      <c r="F36" s="339"/>
      <c r="G36" s="340"/>
      <c r="CX36" s="30" t="s">
        <v>190</v>
      </c>
      <c r="CY36" s="43">
        <v>250</v>
      </c>
      <c r="CZ36" s="45">
        <v>260</v>
      </c>
    </row>
    <row r="37" spans="1:104" ht="15.6" customHeight="1" x14ac:dyDescent="0.3">
      <c r="A37" s="302" t="s">
        <v>157</v>
      </c>
      <c r="B37" s="303"/>
      <c r="C37" s="303"/>
      <c r="D37" s="303"/>
      <c r="E37" s="307"/>
      <c r="F37" s="306"/>
      <c r="G37" s="308"/>
      <c r="CX37" s="30" t="s">
        <v>191</v>
      </c>
      <c r="CY37" s="43">
        <v>251</v>
      </c>
      <c r="CZ37" s="45">
        <v>280</v>
      </c>
    </row>
    <row r="38" spans="1:104" ht="15.6" customHeight="1" x14ac:dyDescent="0.3">
      <c r="A38" s="302" t="s">
        <v>96</v>
      </c>
      <c r="B38" s="303"/>
      <c r="C38" s="303"/>
      <c r="D38" s="303"/>
      <c r="E38" s="307"/>
      <c r="F38" s="319"/>
      <c r="G38" s="328"/>
      <c r="CX38" s="30" t="s">
        <v>192</v>
      </c>
      <c r="CY38" s="43">
        <v>252</v>
      </c>
      <c r="CZ38" s="45">
        <v>280</v>
      </c>
    </row>
    <row r="39" spans="1:104" ht="15.6" customHeight="1" x14ac:dyDescent="0.3">
      <c r="A39" s="302" t="s">
        <v>97</v>
      </c>
      <c r="B39" s="303"/>
      <c r="C39" s="303"/>
      <c r="D39" s="303"/>
      <c r="E39" s="307"/>
      <c r="F39" s="319"/>
      <c r="G39" s="328"/>
      <c r="CX39" s="30" t="s">
        <v>193</v>
      </c>
      <c r="CY39" s="43">
        <v>253</v>
      </c>
      <c r="CZ39" s="48">
        <v>280</v>
      </c>
    </row>
    <row r="40" spans="1:104" ht="15.6" customHeight="1" x14ac:dyDescent="0.3">
      <c r="A40" s="302" t="s">
        <v>99</v>
      </c>
      <c r="B40" s="303"/>
      <c r="C40" s="303"/>
      <c r="D40" s="303"/>
      <c r="E40" s="307"/>
      <c r="F40" s="369"/>
      <c r="G40" s="370"/>
      <c r="CX40" s="30" t="s">
        <v>194</v>
      </c>
      <c r="CY40" s="43">
        <v>254</v>
      </c>
      <c r="CZ40" s="48">
        <v>280</v>
      </c>
    </row>
    <row r="41" spans="1:104" ht="15.6" customHeight="1" x14ac:dyDescent="0.3">
      <c r="A41" s="317" t="s">
        <v>109</v>
      </c>
      <c r="B41" s="318"/>
      <c r="C41" s="318"/>
      <c r="D41" s="318"/>
      <c r="E41" s="358"/>
      <c r="F41" s="315">
        <f>IF(AND(F11="OUI",F12="OUI",F13="OUI",F36="OUI",F39&lt;&gt;""),60,0)*F37</f>
        <v>0</v>
      </c>
      <c r="G41" s="330"/>
      <c r="CX41" s="30" t="s">
        <v>195</v>
      </c>
      <c r="CY41" s="43">
        <v>255</v>
      </c>
      <c r="CZ41" s="48">
        <v>120</v>
      </c>
    </row>
    <row r="42" spans="1:104" ht="15.6" customHeight="1" thickBot="1" x14ac:dyDescent="0.35">
      <c r="A42" s="317" t="s">
        <v>110</v>
      </c>
      <c r="B42" s="318"/>
      <c r="C42" s="318"/>
      <c r="D42" s="318"/>
      <c r="E42" s="358"/>
      <c r="F42" s="371">
        <f>F41+F35</f>
        <v>0</v>
      </c>
      <c r="G42" s="372"/>
      <c r="CX42" s="30" t="s">
        <v>196</v>
      </c>
      <c r="CY42" s="43">
        <v>256</v>
      </c>
      <c r="CZ42" s="48">
        <v>200</v>
      </c>
    </row>
    <row r="43" spans="1:104" ht="19.95" customHeight="1" thickBot="1" x14ac:dyDescent="0.35">
      <c r="A43" s="363" t="s">
        <v>122</v>
      </c>
      <c r="B43" s="364"/>
      <c r="C43" s="364"/>
      <c r="D43" s="364"/>
      <c r="E43" s="364"/>
      <c r="F43" s="364"/>
      <c r="G43" s="365"/>
      <c r="CX43" s="30" t="s">
        <v>197</v>
      </c>
      <c r="CY43" s="43">
        <v>257</v>
      </c>
      <c r="CZ43" s="48">
        <v>280</v>
      </c>
    </row>
    <row r="44" spans="1:104" ht="15.6" customHeight="1" x14ac:dyDescent="0.3">
      <c r="A44" s="331" t="s">
        <v>111</v>
      </c>
      <c r="B44" s="332"/>
      <c r="C44" s="332"/>
      <c r="D44" s="332"/>
      <c r="E44" s="333"/>
      <c r="F44" s="373">
        <f>F28*F15</f>
        <v>0</v>
      </c>
      <c r="G44" s="374"/>
      <c r="CX44" s="30" t="s">
        <v>198</v>
      </c>
      <c r="CY44" s="43">
        <v>258</v>
      </c>
      <c r="CZ44" s="48">
        <v>280</v>
      </c>
    </row>
    <row r="45" spans="1:104" ht="15.6" customHeight="1" x14ac:dyDescent="0.3">
      <c r="A45" s="331" t="s">
        <v>112</v>
      </c>
      <c r="B45" s="332"/>
      <c r="C45" s="332"/>
      <c r="D45" s="332"/>
      <c r="E45" s="333"/>
      <c r="F45" s="315">
        <f>F42*F15</f>
        <v>0</v>
      </c>
      <c r="G45" s="316"/>
      <c r="CX45" s="30" t="s">
        <v>199</v>
      </c>
      <c r="CY45" s="43">
        <v>259</v>
      </c>
      <c r="CZ45" s="48">
        <v>280</v>
      </c>
    </row>
    <row r="46" spans="1:104" ht="15.6" customHeight="1" thickBot="1" x14ac:dyDescent="0.35">
      <c r="A46" s="366" t="s">
        <v>118</v>
      </c>
      <c r="B46" s="367"/>
      <c r="C46" s="367"/>
      <c r="D46" s="367"/>
      <c r="E46" s="368"/>
      <c r="F46" s="326">
        <f>F45+F44</f>
        <v>0</v>
      </c>
      <c r="G46" s="327"/>
      <c r="CX46" s="30" t="s">
        <v>200</v>
      </c>
      <c r="CY46" s="43">
        <v>260</v>
      </c>
      <c r="CZ46" s="48">
        <v>280</v>
      </c>
    </row>
    <row r="47" spans="1:104" ht="7.2" customHeight="1" thickBot="1" x14ac:dyDescent="0.35">
      <c r="CX47" s="30" t="s">
        <v>201</v>
      </c>
      <c r="CY47" s="43">
        <v>261</v>
      </c>
      <c r="CZ47" s="48">
        <v>280</v>
      </c>
    </row>
    <row r="48" spans="1:104" ht="19.8" customHeight="1" thickBot="1" x14ac:dyDescent="0.35">
      <c r="A48" s="363" t="s">
        <v>252</v>
      </c>
      <c r="B48" s="364"/>
      <c r="C48" s="364"/>
      <c r="D48" s="364"/>
      <c r="E48" s="364"/>
      <c r="F48" s="364"/>
      <c r="G48" s="365"/>
      <c r="CX48" s="30" t="s">
        <v>202</v>
      </c>
      <c r="CY48" s="43">
        <v>262</v>
      </c>
      <c r="CZ48" s="48">
        <v>280</v>
      </c>
    </row>
    <row r="49" spans="1:105" ht="15" customHeight="1" x14ac:dyDescent="0.3">
      <c r="A49" s="346"/>
      <c r="B49" s="347"/>
      <c r="C49" s="347"/>
      <c r="D49" s="347"/>
      <c r="E49" s="347"/>
      <c r="F49" s="347"/>
      <c r="G49" s="348"/>
      <c r="CX49" s="30" t="s">
        <v>203</v>
      </c>
      <c r="CY49" s="43">
        <v>263</v>
      </c>
      <c r="CZ49" s="48">
        <v>280</v>
      </c>
    </row>
    <row r="50" spans="1:105" ht="15" customHeight="1" x14ac:dyDescent="0.3">
      <c r="A50" s="349"/>
      <c r="B50" s="350"/>
      <c r="C50" s="350"/>
      <c r="D50" s="350"/>
      <c r="E50" s="350"/>
      <c r="F50" s="350"/>
      <c r="G50" s="351"/>
      <c r="CX50" s="30" t="s">
        <v>204</v>
      </c>
      <c r="CY50" s="43">
        <v>264</v>
      </c>
      <c r="CZ50" s="48">
        <v>280</v>
      </c>
    </row>
    <row r="51" spans="1:105" ht="15" customHeight="1" thickBot="1" x14ac:dyDescent="0.35">
      <c r="A51" s="352"/>
      <c r="B51" s="353"/>
      <c r="C51" s="353"/>
      <c r="D51" s="353"/>
      <c r="E51" s="353"/>
      <c r="F51" s="353"/>
      <c r="G51" s="354"/>
      <c r="CX51" s="30" t="s">
        <v>205</v>
      </c>
      <c r="CY51" s="43">
        <v>265</v>
      </c>
      <c r="CZ51" s="48">
        <v>280</v>
      </c>
    </row>
    <row r="52" spans="1:105" ht="7.2" customHeight="1" thickBot="1" x14ac:dyDescent="0.35">
      <c r="E52" s="51"/>
      <c r="CX52" s="30" t="s">
        <v>206</v>
      </c>
      <c r="CY52" s="43">
        <v>266</v>
      </c>
      <c r="CZ52" s="48">
        <v>200</v>
      </c>
    </row>
    <row r="53" spans="1:105" ht="15.6" customHeight="1" x14ac:dyDescent="0.3">
      <c r="A53" s="265" t="s">
        <v>156</v>
      </c>
      <c r="B53" s="266"/>
      <c r="C53" s="266"/>
      <c r="D53" s="266"/>
      <c r="E53" s="266"/>
      <c r="F53" s="266"/>
      <c r="G53" s="267"/>
      <c r="CX53" s="30" t="s">
        <v>207</v>
      </c>
      <c r="CY53" s="43">
        <v>267</v>
      </c>
      <c r="CZ53" s="48">
        <v>280</v>
      </c>
    </row>
    <row r="54" spans="1:105" ht="15.6" customHeight="1" x14ac:dyDescent="0.3">
      <c r="A54" s="268"/>
      <c r="B54" s="269"/>
      <c r="C54" s="269"/>
      <c r="D54" s="269"/>
      <c r="E54" s="269"/>
      <c r="F54" s="269"/>
      <c r="G54" s="270"/>
      <c r="CX54" s="30" t="s">
        <v>208</v>
      </c>
      <c r="CY54" s="43">
        <v>268</v>
      </c>
      <c r="CZ54" s="48">
        <v>280</v>
      </c>
    </row>
    <row r="55" spans="1:105" ht="14.4" customHeight="1" x14ac:dyDescent="0.3">
      <c r="A55" s="53"/>
      <c r="B55" s="54"/>
      <c r="C55" s="54"/>
      <c r="D55" s="54"/>
      <c r="E55" s="55"/>
      <c r="F55" s="56"/>
      <c r="G55" s="57"/>
      <c r="CX55" s="30" t="s">
        <v>209</v>
      </c>
      <c r="CY55" s="43">
        <v>269</v>
      </c>
      <c r="CZ55" s="50">
        <v>280</v>
      </c>
    </row>
    <row r="56" spans="1:105" ht="15.6" customHeight="1" x14ac:dyDescent="0.3">
      <c r="A56" s="156"/>
      <c r="B56" s="157"/>
      <c r="C56" s="157"/>
      <c r="D56" s="157"/>
      <c r="E56" s="119"/>
      <c r="F56" s="58"/>
      <c r="G56" s="65"/>
      <c r="H56" s="52"/>
      <c r="CX56" s="30" t="s">
        <v>210</v>
      </c>
      <c r="CY56" s="43">
        <v>270</v>
      </c>
      <c r="CZ56" s="50">
        <v>280</v>
      </c>
    </row>
    <row r="57" spans="1:105" ht="19.95" customHeight="1" x14ac:dyDescent="0.3">
      <c r="A57" s="63" t="s">
        <v>114</v>
      </c>
      <c r="B57" s="58"/>
      <c r="C57" s="58"/>
      <c r="D57" s="54"/>
      <c r="E57" s="59" t="s">
        <v>115</v>
      </c>
      <c r="F57" s="56"/>
      <c r="G57" s="57"/>
      <c r="H57" s="47"/>
      <c r="CX57" s="30" t="s">
        <v>211</v>
      </c>
      <c r="CY57" s="43">
        <v>271</v>
      </c>
      <c r="CZ57" s="45">
        <v>280</v>
      </c>
    </row>
    <row r="58" spans="1:105" ht="13.2" customHeight="1" x14ac:dyDescent="0.3">
      <c r="A58" s="53"/>
      <c r="B58" s="54"/>
      <c r="C58" s="54"/>
      <c r="D58" s="54"/>
      <c r="E58" s="55"/>
      <c r="F58" s="56"/>
      <c r="G58" s="57"/>
      <c r="CX58" s="30" t="s">
        <v>212</v>
      </c>
      <c r="CY58" s="43">
        <v>272</v>
      </c>
      <c r="CZ58" s="45">
        <v>280</v>
      </c>
    </row>
    <row r="59" spans="1:105" ht="15.6" customHeight="1" x14ac:dyDescent="0.3">
      <c r="A59" s="156"/>
      <c r="B59" s="157"/>
      <c r="C59" s="157"/>
      <c r="D59" s="157"/>
      <c r="E59" s="157"/>
      <c r="F59" s="56"/>
      <c r="G59" s="57"/>
      <c r="CX59" s="47" t="s">
        <v>213</v>
      </c>
      <c r="CY59" s="43">
        <v>273</v>
      </c>
      <c r="CZ59" s="45">
        <v>280</v>
      </c>
    </row>
    <row r="60" spans="1:105" ht="19.95" customHeight="1" thickBot="1" x14ac:dyDescent="0.35">
      <c r="A60" s="64" t="s">
        <v>116</v>
      </c>
      <c r="B60" s="60"/>
      <c r="C60" s="60"/>
      <c r="D60" s="60"/>
      <c r="E60" s="60"/>
      <c r="F60" s="61"/>
      <c r="G60" s="62"/>
      <c r="CX60" s="47" t="s">
        <v>214</v>
      </c>
      <c r="CY60" s="43">
        <v>274</v>
      </c>
      <c r="CZ60" s="45">
        <v>280</v>
      </c>
    </row>
    <row r="61" spans="1:105" ht="15.6" customHeight="1" x14ac:dyDescent="0.3">
      <c r="CX61" s="47" t="s">
        <v>215</v>
      </c>
      <c r="CY61" s="43">
        <v>275</v>
      </c>
      <c r="CZ61" s="45">
        <v>280</v>
      </c>
    </row>
    <row r="62" spans="1:105" ht="15.6" customHeight="1" x14ac:dyDescent="0.3">
      <c r="CX62" s="47" t="s">
        <v>216</v>
      </c>
      <c r="CY62" s="43">
        <v>276</v>
      </c>
      <c r="CZ62" s="45">
        <v>280</v>
      </c>
    </row>
    <row r="63" spans="1:105" ht="15.6" customHeight="1" x14ac:dyDescent="0.3">
      <c r="CX63" s="47" t="s">
        <v>217</v>
      </c>
      <c r="CY63" s="43">
        <v>277</v>
      </c>
      <c r="CZ63" s="45">
        <v>280</v>
      </c>
      <c r="DA63" s="47"/>
    </row>
    <row r="64" spans="1:105" s="47" customFormat="1" ht="15.6" customHeight="1" x14ac:dyDescent="0.3">
      <c r="A64" s="30"/>
      <c r="B64" s="30"/>
      <c r="C64" s="30"/>
      <c r="D64" s="30"/>
      <c r="E64" s="40"/>
      <c r="F64" s="31"/>
      <c r="G64" s="31"/>
      <c r="H64" s="30"/>
      <c r="CX64" s="47" t="s">
        <v>218</v>
      </c>
      <c r="CY64" s="43">
        <v>278</v>
      </c>
      <c r="CZ64" s="45">
        <v>280</v>
      </c>
    </row>
    <row r="65" spans="1:105" s="47" customFormat="1" ht="15.6" customHeight="1" x14ac:dyDescent="0.3">
      <c r="A65" s="30"/>
      <c r="B65" s="30"/>
      <c r="C65" s="30"/>
      <c r="D65" s="30"/>
      <c r="E65" s="40"/>
      <c r="F65" s="31"/>
      <c r="G65" s="31"/>
      <c r="H65" s="30"/>
      <c r="CX65" s="47" t="s">
        <v>219</v>
      </c>
      <c r="CY65" s="43">
        <v>279</v>
      </c>
      <c r="CZ65" s="45">
        <v>280</v>
      </c>
    </row>
    <row r="66" spans="1:105" s="47" customFormat="1" ht="15.6" customHeight="1" x14ac:dyDescent="0.3">
      <c r="A66" s="30"/>
      <c r="B66" s="30"/>
      <c r="C66" s="30"/>
      <c r="D66" s="30"/>
      <c r="E66" s="40"/>
      <c r="F66" s="31"/>
      <c r="G66" s="31"/>
      <c r="H66" s="30"/>
      <c r="CX66" s="47" t="s">
        <v>220</v>
      </c>
      <c r="CY66" s="43">
        <v>280</v>
      </c>
      <c r="CZ66" s="45">
        <v>280</v>
      </c>
    </row>
    <row r="67" spans="1:105" s="47" customFormat="1" ht="15.6" customHeight="1" x14ac:dyDescent="0.3">
      <c r="A67" s="30"/>
      <c r="B67" s="30"/>
      <c r="C67" s="30"/>
      <c r="D67" s="30"/>
      <c r="E67" s="40"/>
      <c r="F67" s="31"/>
      <c r="G67" s="31"/>
      <c r="H67" s="30"/>
      <c r="CX67" s="47" t="s">
        <v>221</v>
      </c>
      <c r="CY67" s="43">
        <v>281</v>
      </c>
      <c r="CZ67" s="45">
        <v>280</v>
      </c>
    </row>
    <row r="68" spans="1:105" s="47" customFormat="1" ht="15.6" customHeight="1" x14ac:dyDescent="0.3">
      <c r="A68" s="30"/>
      <c r="B68" s="30"/>
      <c r="C68" s="30"/>
      <c r="D68" s="30"/>
      <c r="E68" s="40"/>
      <c r="F68" s="31"/>
      <c r="G68" s="31"/>
      <c r="H68" s="30"/>
      <c r="CX68" s="47" t="s">
        <v>222</v>
      </c>
      <c r="CY68" s="43">
        <v>282</v>
      </c>
      <c r="CZ68" s="45">
        <v>280</v>
      </c>
    </row>
    <row r="69" spans="1:105" s="47" customFormat="1" ht="15.6" customHeight="1" x14ac:dyDescent="0.3">
      <c r="A69" s="30"/>
      <c r="B69" s="30"/>
      <c r="C69" s="30"/>
      <c r="D69" s="30"/>
      <c r="E69" s="40"/>
      <c r="F69" s="31"/>
      <c r="G69" s="31"/>
      <c r="H69" s="30"/>
      <c r="CX69" s="47" t="s">
        <v>223</v>
      </c>
      <c r="CY69" s="43">
        <v>283</v>
      </c>
      <c r="CZ69" s="45">
        <v>280</v>
      </c>
    </row>
    <row r="70" spans="1:105" s="47" customFormat="1" ht="15.6" customHeight="1" x14ac:dyDescent="0.3">
      <c r="A70" s="30"/>
      <c r="B70" s="30"/>
      <c r="C70" s="30"/>
      <c r="D70" s="30"/>
      <c r="E70" s="40"/>
      <c r="F70" s="31"/>
      <c r="G70" s="31"/>
      <c r="H70" s="30"/>
      <c r="CX70" s="47" t="s">
        <v>224</v>
      </c>
      <c r="CY70" s="43">
        <v>284</v>
      </c>
      <c r="CZ70" s="45">
        <v>280</v>
      </c>
    </row>
    <row r="71" spans="1:105" s="47" customFormat="1" ht="15.6" customHeight="1" x14ac:dyDescent="0.3">
      <c r="A71" s="30"/>
      <c r="B71" s="30"/>
      <c r="C71" s="30"/>
      <c r="D71" s="30"/>
      <c r="E71" s="40"/>
      <c r="F71" s="31"/>
      <c r="G71" s="31"/>
      <c r="H71" s="30"/>
      <c r="CX71" s="47" t="s">
        <v>225</v>
      </c>
      <c r="CY71" s="43">
        <v>285</v>
      </c>
      <c r="CZ71" s="45">
        <v>280</v>
      </c>
    </row>
    <row r="72" spans="1:105" s="47" customFormat="1" ht="15.6" customHeight="1" x14ac:dyDescent="0.3">
      <c r="A72" s="30"/>
      <c r="B72" s="30"/>
      <c r="C72" s="30"/>
      <c r="D72" s="30"/>
      <c r="E72" s="40"/>
      <c r="F72" s="31"/>
      <c r="G72" s="31"/>
      <c r="H72" s="30"/>
      <c r="CX72" s="47" t="s">
        <v>226</v>
      </c>
      <c r="CY72" s="43">
        <v>286</v>
      </c>
      <c r="CZ72" s="45">
        <v>280</v>
      </c>
    </row>
    <row r="73" spans="1:105" s="47" customFormat="1" ht="15.6" customHeight="1" x14ac:dyDescent="0.3">
      <c r="A73" s="30"/>
      <c r="B73" s="30"/>
      <c r="C73" s="30"/>
      <c r="D73" s="30"/>
      <c r="E73" s="40"/>
      <c r="F73" s="31"/>
      <c r="G73" s="31"/>
      <c r="H73" s="30"/>
      <c r="CX73" s="47" t="s">
        <v>227</v>
      </c>
      <c r="CY73" s="43">
        <v>287</v>
      </c>
      <c r="CZ73" s="45">
        <v>280</v>
      </c>
    </row>
    <row r="74" spans="1:105" s="47" customFormat="1" ht="15.6" customHeight="1" x14ac:dyDescent="0.3">
      <c r="A74" s="30"/>
      <c r="B74" s="30"/>
      <c r="C74" s="30"/>
      <c r="D74" s="30"/>
      <c r="E74" s="40"/>
      <c r="F74" s="31"/>
      <c r="G74" s="31"/>
      <c r="H74" s="30"/>
      <c r="CX74" s="47" t="s">
        <v>228</v>
      </c>
      <c r="CY74" s="43">
        <v>288</v>
      </c>
      <c r="CZ74" s="45">
        <v>280</v>
      </c>
    </row>
    <row r="75" spans="1:105" s="47" customFormat="1" ht="15.6" customHeight="1" x14ac:dyDescent="0.3">
      <c r="A75" s="30"/>
      <c r="B75" s="30"/>
      <c r="C75" s="30"/>
      <c r="D75" s="30"/>
      <c r="E75" s="40"/>
      <c r="F75" s="31"/>
      <c r="G75" s="31"/>
      <c r="H75" s="30"/>
      <c r="CX75" s="49" t="s">
        <v>229</v>
      </c>
      <c r="CY75" s="43">
        <v>289</v>
      </c>
      <c r="CZ75" s="45">
        <v>280</v>
      </c>
    </row>
    <row r="76" spans="1:105" s="47" customFormat="1" ht="15.6" customHeight="1" x14ac:dyDescent="0.3">
      <c r="A76" s="30"/>
      <c r="B76" s="30"/>
      <c r="C76" s="30"/>
      <c r="D76" s="30"/>
      <c r="E76" s="40"/>
      <c r="F76" s="31"/>
      <c r="G76" s="31"/>
      <c r="H76" s="30"/>
      <c r="CX76" s="49" t="s">
        <v>230</v>
      </c>
      <c r="CY76" s="43">
        <v>290</v>
      </c>
      <c r="CZ76" s="45">
        <v>280</v>
      </c>
    </row>
    <row r="77" spans="1:105" s="47" customFormat="1" ht="18" customHeight="1" x14ac:dyDescent="0.3">
      <c r="A77" s="30"/>
      <c r="B77" s="30"/>
      <c r="C77" s="30"/>
      <c r="D77" s="30"/>
      <c r="E77" s="40"/>
      <c r="F77" s="31"/>
      <c r="G77" s="31"/>
      <c r="H77" s="30"/>
      <c r="CX77" s="30"/>
      <c r="CY77" s="43">
        <v>291</v>
      </c>
      <c r="CZ77" s="45">
        <v>280</v>
      </c>
    </row>
    <row r="78" spans="1:105" s="47" customFormat="1" x14ac:dyDescent="0.3">
      <c r="A78" s="30"/>
      <c r="B78" s="30"/>
      <c r="C78" s="30"/>
      <c r="D78" s="30"/>
      <c r="E78" s="40"/>
      <c r="F78" s="31"/>
      <c r="G78" s="31"/>
      <c r="H78" s="30"/>
      <c r="CX78" s="30"/>
      <c r="CY78" s="43">
        <v>292</v>
      </c>
      <c r="CZ78" s="45">
        <v>280</v>
      </c>
    </row>
    <row r="79" spans="1:105" s="47" customFormat="1" x14ac:dyDescent="0.3">
      <c r="A79" s="30"/>
      <c r="B79" s="30"/>
      <c r="C79" s="30"/>
      <c r="D79" s="30"/>
      <c r="E79" s="40"/>
      <c r="F79" s="31"/>
      <c r="G79" s="31"/>
      <c r="H79" s="30"/>
      <c r="CX79" s="30"/>
      <c r="CY79" s="43">
        <v>350</v>
      </c>
      <c r="CZ79" s="45">
        <v>0</v>
      </c>
      <c r="DA79" s="49"/>
    </row>
    <row r="80" spans="1:105" s="49" customFormat="1" x14ac:dyDescent="0.3">
      <c r="A80" s="30"/>
      <c r="B80" s="30"/>
      <c r="C80" s="30"/>
      <c r="D80" s="30"/>
      <c r="E80" s="40"/>
      <c r="F80" s="31"/>
      <c r="G80" s="31"/>
      <c r="H80" s="30"/>
      <c r="CX80" s="30"/>
      <c r="CY80" s="43">
        <v>351</v>
      </c>
      <c r="CZ80" s="45">
        <v>0</v>
      </c>
    </row>
    <row r="81" spans="1:105" s="49" customFormat="1" x14ac:dyDescent="0.3">
      <c r="A81" s="30"/>
      <c r="B81" s="30"/>
      <c r="C81" s="30"/>
      <c r="D81" s="30"/>
      <c r="E81" s="40"/>
      <c r="F81" s="31"/>
      <c r="G81" s="31"/>
      <c r="H81" s="30"/>
      <c r="CX81" s="30"/>
      <c r="CY81" s="43">
        <v>352</v>
      </c>
      <c r="CZ81" s="45">
        <v>40</v>
      </c>
      <c r="DA81" s="30"/>
    </row>
    <row r="82" spans="1:105" x14ac:dyDescent="0.3">
      <c r="CY82" s="43">
        <v>353</v>
      </c>
      <c r="CZ82" s="45">
        <v>40</v>
      </c>
    </row>
    <row r="83" spans="1:105" x14ac:dyDescent="0.3">
      <c r="CY83" s="43">
        <v>354</v>
      </c>
      <c r="CZ83" s="45">
        <v>120</v>
      </c>
    </row>
    <row r="84" spans="1:105" x14ac:dyDescent="0.3">
      <c r="CY84" s="43">
        <v>355</v>
      </c>
      <c r="CZ84" s="45">
        <v>180</v>
      </c>
    </row>
    <row r="85" spans="1:105" x14ac:dyDescent="0.3">
      <c r="CY85" s="43">
        <v>356</v>
      </c>
      <c r="CZ85" s="45">
        <v>240</v>
      </c>
    </row>
    <row r="86" spans="1:105" x14ac:dyDescent="0.3">
      <c r="CY86" s="43">
        <v>357</v>
      </c>
      <c r="CZ86" s="45">
        <v>240</v>
      </c>
    </row>
    <row r="87" spans="1:105" x14ac:dyDescent="0.3">
      <c r="CY87" s="43">
        <v>450</v>
      </c>
      <c r="CZ87" s="45">
        <v>60</v>
      </c>
    </row>
    <row r="88" spans="1:105" x14ac:dyDescent="0.3">
      <c r="CY88" s="43">
        <v>451</v>
      </c>
      <c r="CZ88" s="45">
        <v>0</v>
      </c>
    </row>
    <row r="89" spans="1:105" x14ac:dyDescent="0.3">
      <c r="CY89" s="43">
        <v>452</v>
      </c>
      <c r="CZ89" s="45">
        <v>0</v>
      </c>
    </row>
    <row r="90" spans="1:105" x14ac:dyDescent="0.3">
      <c r="CY90" s="43">
        <v>453</v>
      </c>
      <c r="CZ90" s="45">
        <v>0</v>
      </c>
    </row>
    <row r="91" spans="1:105" x14ac:dyDescent="0.3">
      <c r="CY91" s="43">
        <v>454</v>
      </c>
      <c r="CZ91" s="45">
        <v>0</v>
      </c>
    </row>
    <row r="92" spans="1:105" x14ac:dyDescent="0.3">
      <c r="CY92" s="43">
        <v>455</v>
      </c>
      <c r="CZ92" s="45">
        <v>0</v>
      </c>
    </row>
    <row r="93" spans="1:105" x14ac:dyDescent="0.3">
      <c r="CY93" s="43">
        <v>456</v>
      </c>
      <c r="CZ93" s="45">
        <v>0</v>
      </c>
    </row>
    <row r="94" spans="1:105" x14ac:dyDescent="0.3">
      <c r="CY94" s="43">
        <v>457</v>
      </c>
      <c r="CZ94" s="45">
        <v>0</v>
      </c>
    </row>
    <row r="95" spans="1:105" x14ac:dyDescent="0.3">
      <c r="CY95" s="43">
        <v>458</v>
      </c>
      <c r="CZ95" s="45">
        <v>60</v>
      </c>
    </row>
    <row r="96" spans="1:105" x14ac:dyDescent="0.3">
      <c r="CY96" s="43">
        <v>459</v>
      </c>
      <c r="CZ96" s="45">
        <v>60</v>
      </c>
    </row>
    <row r="97" spans="103:104" x14ac:dyDescent="0.3">
      <c r="CY97" s="43">
        <v>460</v>
      </c>
      <c r="CZ97" s="45">
        <v>200</v>
      </c>
    </row>
    <row r="98" spans="103:104" x14ac:dyDescent="0.3">
      <c r="CY98" s="43">
        <v>461</v>
      </c>
      <c r="CZ98" s="45">
        <v>240</v>
      </c>
    </row>
    <row r="99" spans="103:104" x14ac:dyDescent="0.3">
      <c r="CY99" s="43">
        <v>551</v>
      </c>
      <c r="CZ99" s="45">
        <v>0</v>
      </c>
    </row>
    <row r="100" spans="103:104" x14ac:dyDescent="0.3">
      <c r="CY100" s="43">
        <v>650</v>
      </c>
      <c r="CZ100" s="45">
        <v>0</v>
      </c>
    </row>
    <row r="101" spans="103:104" x14ac:dyDescent="0.3">
      <c r="CY101" s="43">
        <v>651</v>
      </c>
      <c r="CZ101" s="45">
        <v>40</v>
      </c>
    </row>
    <row r="102" spans="103:104" x14ac:dyDescent="0.3">
      <c r="CY102" s="43">
        <v>652</v>
      </c>
      <c r="CZ102" s="45">
        <v>200</v>
      </c>
    </row>
    <row r="103" spans="103:104" x14ac:dyDescent="0.3">
      <c r="CY103" s="43">
        <v>653</v>
      </c>
      <c r="CZ103" s="45">
        <v>140</v>
      </c>
    </row>
    <row r="104" spans="103:104" x14ac:dyDescent="0.3">
      <c r="CY104" s="43">
        <v>654</v>
      </c>
      <c r="CZ104" s="45">
        <v>200</v>
      </c>
    </row>
    <row r="105" spans="103:104" x14ac:dyDescent="0.3">
      <c r="CY105" s="43">
        <v>655</v>
      </c>
      <c r="CZ105" s="45">
        <v>40</v>
      </c>
    </row>
    <row r="106" spans="103:104" x14ac:dyDescent="0.3">
      <c r="CY106" s="43">
        <v>656</v>
      </c>
      <c r="CZ106" s="45">
        <v>140</v>
      </c>
    </row>
    <row r="107" spans="103:104" x14ac:dyDescent="0.3">
      <c r="CY107" s="43">
        <v>657</v>
      </c>
      <c r="CZ107" s="45">
        <v>140</v>
      </c>
    </row>
    <row r="108" spans="103:104" x14ac:dyDescent="0.3">
      <c r="CY108" s="43">
        <v>658</v>
      </c>
      <c r="CZ108" s="45">
        <v>220</v>
      </c>
    </row>
    <row r="109" spans="103:104" x14ac:dyDescent="0.3">
      <c r="CY109" s="43">
        <v>659</v>
      </c>
      <c r="CZ109" s="45">
        <v>280</v>
      </c>
    </row>
    <row r="110" spans="103:104" x14ac:dyDescent="0.3">
      <c r="CY110" s="43">
        <v>660</v>
      </c>
      <c r="CZ110" s="45">
        <v>160</v>
      </c>
    </row>
    <row r="111" spans="103:104" x14ac:dyDescent="0.3">
      <c r="CY111" s="43">
        <v>661</v>
      </c>
      <c r="CZ111" s="45">
        <v>40</v>
      </c>
    </row>
    <row r="112" spans="103:104" x14ac:dyDescent="0.3">
      <c r="CY112" s="43">
        <v>662</v>
      </c>
      <c r="CZ112" s="45">
        <v>0</v>
      </c>
    </row>
    <row r="113" spans="103:104" x14ac:dyDescent="0.3">
      <c r="CY113" s="43">
        <v>750</v>
      </c>
      <c r="CZ113" s="45">
        <v>0</v>
      </c>
    </row>
    <row r="114" spans="103:104" x14ac:dyDescent="0.3">
      <c r="CY114" s="43">
        <v>751</v>
      </c>
      <c r="CZ114" s="45">
        <v>40</v>
      </c>
    </row>
    <row r="115" spans="103:104" x14ac:dyDescent="0.3">
      <c r="CY115" s="43">
        <v>752</v>
      </c>
      <c r="CZ115" s="45">
        <v>220</v>
      </c>
    </row>
    <row r="116" spans="103:104" x14ac:dyDescent="0.3">
      <c r="CY116" s="43">
        <v>753</v>
      </c>
      <c r="CZ116" s="45">
        <v>280</v>
      </c>
    </row>
    <row r="117" spans="103:104" x14ac:dyDescent="0.3">
      <c r="CY117" s="43">
        <v>754</v>
      </c>
      <c r="CZ117" s="45">
        <v>80</v>
      </c>
    </row>
    <row r="118" spans="103:104" x14ac:dyDescent="0.3">
      <c r="CY118" s="43">
        <v>755</v>
      </c>
      <c r="CZ118" s="45">
        <v>60</v>
      </c>
    </row>
    <row r="119" spans="103:104" x14ac:dyDescent="0.3">
      <c r="CY119" s="43">
        <v>756</v>
      </c>
      <c r="CZ119" s="45">
        <v>260</v>
      </c>
    </row>
    <row r="120" spans="103:104" x14ac:dyDescent="0.3">
      <c r="CY120" s="43">
        <v>757</v>
      </c>
      <c r="CZ120" s="45">
        <v>260</v>
      </c>
    </row>
    <row r="121" spans="103:104" x14ac:dyDescent="0.3">
      <c r="CY121" s="43">
        <v>758</v>
      </c>
      <c r="CZ121" s="45">
        <v>280</v>
      </c>
    </row>
    <row r="122" spans="103:104" x14ac:dyDescent="0.3">
      <c r="CY122" s="43">
        <v>850</v>
      </c>
      <c r="CZ122" s="45">
        <v>0</v>
      </c>
    </row>
    <row r="123" spans="103:104" x14ac:dyDescent="0.3">
      <c r="CY123" s="43">
        <v>851</v>
      </c>
      <c r="CZ123" s="45">
        <v>0</v>
      </c>
    </row>
    <row r="124" spans="103:104" x14ac:dyDescent="0.3">
      <c r="CY124" s="43">
        <v>852</v>
      </c>
      <c r="CZ124" s="45">
        <v>0</v>
      </c>
    </row>
    <row r="125" spans="103:104" x14ac:dyDescent="0.3">
      <c r="CY125" s="43">
        <v>853</v>
      </c>
      <c r="CZ125" s="45">
        <v>0</v>
      </c>
    </row>
    <row r="126" spans="103:104" x14ac:dyDescent="0.3">
      <c r="CY126" s="43">
        <v>854</v>
      </c>
      <c r="CZ126" s="45">
        <v>0</v>
      </c>
    </row>
    <row r="127" spans="103:104" x14ac:dyDescent="0.3">
      <c r="CY127" s="43">
        <v>855</v>
      </c>
      <c r="CZ127" s="45">
        <v>0</v>
      </c>
    </row>
    <row r="128" spans="103:104" x14ac:dyDescent="0.3">
      <c r="CY128" s="43">
        <v>856</v>
      </c>
      <c r="CZ128" s="45">
        <v>60</v>
      </c>
    </row>
    <row r="129" spans="103:104" x14ac:dyDescent="0.3">
      <c r="CY129" s="43">
        <v>857</v>
      </c>
      <c r="CZ129" s="45">
        <v>80</v>
      </c>
    </row>
    <row r="130" spans="103:104" x14ac:dyDescent="0.3">
      <c r="CY130" s="43">
        <v>858</v>
      </c>
      <c r="CZ130" s="45">
        <v>100</v>
      </c>
    </row>
    <row r="131" spans="103:104" x14ac:dyDescent="0.3">
      <c r="CY131" s="43">
        <v>859</v>
      </c>
      <c r="CZ131" s="45">
        <v>180</v>
      </c>
    </row>
    <row r="132" spans="103:104" x14ac:dyDescent="0.3">
      <c r="CY132" s="43">
        <v>860</v>
      </c>
      <c r="CZ132" s="45">
        <v>260</v>
      </c>
    </row>
    <row r="133" spans="103:104" x14ac:dyDescent="0.3">
      <c r="CY133" s="43">
        <v>861</v>
      </c>
      <c r="CZ133" s="45">
        <v>240</v>
      </c>
    </row>
    <row r="134" spans="103:104" x14ac:dyDescent="0.3">
      <c r="CY134" s="43">
        <v>862</v>
      </c>
      <c r="CZ134" s="45">
        <v>280</v>
      </c>
    </row>
    <row r="135" spans="103:104" x14ac:dyDescent="0.3">
      <c r="CY135" s="43">
        <v>863</v>
      </c>
      <c r="CZ135" s="45">
        <v>280</v>
      </c>
    </row>
    <row r="136" spans="103:104" x14ac:dyDescent="0.3">
      <c r="CY136" s="43">
        <v>864</v>
      </c>
      <c r="CZ136" s="45">
        <v>280</v>
      </c>
    </row>
    <row r="137" spans="103:104" x14ac:dyDescent="0.3">
      <c r="CY137" s="43">
        <v>865</v>
      </c>
      <c r="CZ137" s="45">
        <v>280</v>
      </c>
    </row>
    <row r="138" spans="103:104" x14ac:dyDescent="0.3">
      <c r="CY138" s="43">
        <v>866</v>
      </c>
      <c r="CZ138" s="45">
        <v>280</v>
      </c>
    </row>
    <row r="139" spans="103:104" x14ac:dyDescent="0.3">
      <c r="CY139" s="43">
        <v>867</v>
      </c>
      <c r="CZ139" s="45">
        <v>280</v>
      </c>
    </row>
    <row r="140" spans="103:104" x14ac:dyDescent="0.3">
      <c r="CY140" s="43">
        <v>868</v>
      </c>
      <c r="CZ140" s="45">
        <v>280</v>
      </c>
    </row>
    <row r="141" spans="103:104" x14ac:dyDescent="0.3">
      <c r="CY141" s="43">
        <v>869</v>
      </c>
      <c r="CZ141" s="45">
        <v>280</v>
      </c>
    </row>
    <row r="142" spans="103:104" x14ac:dyDescent="0.3">
      <c r="CY142" s="43">
        <v>870</v>
      </c>
      <c r="CZ142" s="45">
        <v>280</v>
      </c>
    </row>
    <row r="143" spans="103:104" x14ac:dyDescent="0.3">
      <c r="CY143" s="43">
        <v>871</v>
      </c>
      <c r="CZ143" s="45">
        <v>280</v>
      </c>
    </row>
    <row r="144" spans="103:104" x14ac:dyDescent="0.3">
      <c r="CY144" s="43">
        <v>872</v>
      </c>
      <c r="CZ144" s="45">
        <v>280</v>
      </c>
    </row>
    <row r="145" spans="103:104" x14ac:dyDescent="0.3">
      <c r="CY145" s="43">
        <v>873</v>
      </c>
      <c r="CZ145" s="45">
        <v>280</v>
      </c>
    </row>
    <row r="146" spans="103:104" x14ac:dyDescent="0.3">
      <c r="CY146" s="43">
        <v>874</v>
      </c>
      <c r="CZ146" s="45">
        <v>280</v>
      </c>
    </row>
    <row r="147" spans="103:104" x14ac:dyDescent="0.3">
      <c r="CY147" s="43">
        <v>875</v>
      </c>
      <c r="CZ147" s="45">
        <v>280</v>
      </c>
    </row>
    <row r="148" spans="103:104" x14ac:dyDescent="0.3">
      <c r="CY148" s="43">
        <v>876</v>
      </c>
      <c r="CZ148" s="45">
        <v>280</v>
      </c>
    </row>
    <row r="149" spans="103:104" x14ac:dyDescent="0.3">
      <c r="CY149" s="43">
        <v>877</v>
      </c>
      <c r="CZ149" s="45">
        <v>280</v>
      </c>
    </row>
    <row r="150" spans="103:104" x14ac:dyDescent="0.3">
      <c r="CY150" s="43">
        <v>878</v>
      </c>
      <c r="CZ150" s="45">
        <v>280</v>
      </c>
    </row>
    <row r="151" spans="103:104" x14ac:dyDescent="0.3">
      <c r="CY151" s="43">
        <v>879</v>
      </c>
      <c r="CZ151" s="45">
        <v>280</v>
      </c>
    </row>
    <row r="152" spans="103:104" x14ac:dyDescent="0.3">
      <c r="CY152" s="43">
        <v>880</v>
      </c>
      <c r="CZ152" s="45">
        <v>280</v>
      </c>
    </row>
    <row r="153" spans="103:104" x14ac:dyDescent="0.3">
      <c r="CY153" s="43">
        <v>881</v>
      </c>
      <c r="CZ153" s="45">
        <v>280</v>
      </c>
    </row>
    <row r="154" spans="103:104" x14ac:dyDescent="0.3">
      <c r="CY154" s="43">
        <v>882</v>
      </c>
      <c r="CZ154" s="45">
        <v>280</v>
      </c>
    </row>
    <row r="155" spans="103:104" x14ac:dyDescent="0.3">
      <c r="CY155" s="43">
        <v>883</v>
      </c>
      <c r="CZ155" s="45">
        <v>280</v>
      </c>
    </row>
    <row r="156" spans="103:104" x14ac:dyDescent="0.3">
      <c r="CY156" s="43">
        <v>884</v>
      </c>
      <c r="CZ156" s="45">
        <v>280</v>
      </c>
    </row>
    <row r="157" spans="103:104" x14ac:dyDescent="0.3">
      <c r="CY157" s="43">
        <v>885</v>
      </c>
      <c r="CZ157" s="45">
        <v>280</v>
      </c>
    </row>
    <row r="158" spans="103:104" x14ac:dyDescent="0.3">
      <c r="CY158" s="43">
        <v>886</v>
      </c>
      <c r="CZ158" s="45">
        <v>280</v>
      </c>
    </row>
    <row r="159" spans="103:104" x14ac:dyDescent="0.3">
      <c r="CY159" s="43">
        <v>887</v>
      </c>
      <c r="CZ159" s="45">
        <v>280</v>
      </c>
    </row>
    <row r="160" spans="103:104" x14ac:dyDescent="0.3">
      <c r="CY160" s="43">
        <v>888</v>
      </c>
      <c r="CZ160" s="45">
        <v>280</v>
      </c>
    </row>
    <row r="161" spans="103:104" x14ac:dyDescent="0.3">
      <c r="CY161" s="43">
        <v>889</v>
      </c>
      <c r="CZ161" s="45">
        <v>240</v>
      </c>
    </row>
    <row r="162" spans="103:104" x14ac:dyDescent="0.3">
      <c r="CY162" s="43">
        <v>890</v>
      </c>
      <c r="CZ162" s="45">
        <v>280</v>
      </c>
    </row>
    <row r="163" spans="103:104" x14ac:dyDescent="0.3">
      <c r="CY163" s="43">
        <v>891</v>
      </c>
      <c r="CZ163" s="45">
        <v>280</v>
      </c>
    </row>
    <row r="164" spans="103:104" x14ac:dyDescent="0.3">
      <c r="CY164" s="43">
        <v>892</v>
      </c>
      <c r="CZ164" s="45">
        <v>280</v>
      </c>
    </row>
    <row r="165" spans="103:104" x14ac:dyDescent="0.3">
      <c r="CY165" s="43">
        <v>950</v>
      </c>
      <c r="CZ165" s="45">
        <v>280</v>
      </c>
    </row>
    <row r="166" spans="103:104" x14ac:dyDescent="0.3">
      <c r="CY166" s="43">
        <v>951</v>
      </c>
      <c r="CZ166" s="45">
        <v>280</v>
      </c>
    </row>
    <row r="167" spans="103:104" x14ac:dyDescent="0.3">
      <c r="CY167" s="43">
        <v>952</v>
      </c>
      <c r="CZ167" s="45">
        <v>280</v>
      </c>
    </row>
    <row r="168" spans="103:104" x14ac:dyDescent="0.3">
      <c r="CY168" s="43">
        <v>953</v>
      </c>
      <c r="CZ168" s="45">
        <v>280</v>
      </c>
    </row>
    <row r="169" spans="103:104" x14ac:dyDescent="0.3">
      <c r="CY169" s="43">
        <v>954</v>
      </c>
      <c r="CZ169" s="45">
        <v>280</v>
      </c>
    </row>
    <row r="170" spans="103:104" x14ac:dyDescent="0.3">
      <c r="CY170" s="43">
        <v>955</v>
      </c>
      <c r="CZ170" s="45">
        <v>280</v>
      </c>
    </row>
    <row r="171" spans="103:104" x14ac:dyDescent="0.3">
      <c r="CY171" s="43">
        <v>956</v>
      </c>
      <c r="CZ171" s="45">
        <v>280</v>
      </c>
    </row>
    <row r="172" spans="103:104" x14ac:dyDescent="0.3">
      <c r="CY172" s="43">
        <v>957</v>
      </c>
      <c r="CZ172" s="45">
        <v>280</v>
      </c>
    </row>
    <row r="173" spans="103:104" x14ac:dyDescent="0.3">
      <c r="CY173" s="43">
        <v>960</v>
      </c>
      <c r="CZ173" s="45">
        <v>280</v>
      </c>
    </row>
    <row r="174" spans="103:104" x14ac:dyDescent="0.3">
      <c r="CY174" s="43">
        <v>961</v>
      </c>
      <c r="CZ174" s="45">
        <v>280</v>
      </c>
    </row>
    <row r="175" spans="103:104" x14ac:dyDescent="0.3">
      <c r="CY175" s="43">
        <v>962</v>
      </c>
      <c r="CZ175" s="45">
        <v>280</v>
      </c>
    </row>
    <row r="176" spans="103:104" x14ac:dyDescent="0.3">
      <c r="CY176" s="43">
        <v>963</v>
      </c>
      <c r="CZ176" s="45">
        <v>280</v>
      </c>
    </row>
    <row r="177" spans="103:104" x14ac:dyDescent="0.3">
      <c r="CY177" s="43">
        <v>964</v>
      </c>
      <c r="CZ177" s="45">
        <v>280</v>
      </c>
    </row>
    <row r="178" spans="103:104" x14ac:dyDescent="0.3">
      <c r="CY178" s="43">
        <v>965</v>
      </c>
      <c r="CZ178" s="45">
        <v>280</v>
      </c>
    </row>
    <row r="179" spans="103:104" x14ac:dyDescent="0.3">
      <c r="CY179" s="43">
        <v>966</v>
      </c>
      <c r="CZ179" s="45">
        <v>280</v>
      </c>
    </row>
    <row r="180" spans="103:104" x14ac:dyDescent="0.3">
      <c r="CY180" s="43">
        <v>967</v>
      </c>
      <c r="CZ180" s="45">
        <v>280</v>
      </c>
    </row>
    <row r="181" spans="103:104" x14ac:dyDescent="0.3">
      <c r="CY181" s="43">
        <v>970</v>
      </c>
      <c r="CZ181" s="45">
        <v>280</v>
      </c>
    </row>
    <row r="182" spans="103:104" x14ac:dyDescent="0.3">
      <c r="CY182" s="43">
        <v>980</v>
      </c>
      <c r="CZ182" s="45">
        <v>280</v>
      </c>
    </row>
    <row r="183" spans="103:104" x14ac:dyDescent="0.3">
      <c r="CY183" s="43">
        <v>981</v>
      </c>
      <c r="CZ183" s="45">
        <v>280</v>
      </c>
    </row>
    <row r="184" spans="103:104" x14ac:dyDescent="0.3">
      <c r="CY184" s="43">
        <v>982</v>
      </c>
      <c r="CZ184" s="45">
        <v>280</v>
      </c>
    </row>
    <row r="185" spans="103:104" x14ac:dyDescent="0.3">
      <c r="CY185" s="43">
        <v>983</v>
      </c>
      <c r="CZ185" s="45">
        <v>280</v>
      </c>
    </row>
    <row r="186" spans="103:104" x14ac:dyDescent="0.3">
      <c r="CY186" s="43">
        <v>984</v>
      </c>
      <c r="CZ186" s="45">
        <v>280</v>
      </c>
    </row>
    <row r="187" spans="103:104" x14ac:dyDescent="0.3">
      <c r="CY187" s="43">
        <v>985</v>
      </c>
      <c r="CZ187" s="45">
        <v>280</v>
      </c>
    </row>
    <row r="188" spans="103:104" x14ac:dyDescent="0.3">
      <c r="CY188" s="43">
        <v>986</v>
      </c>
      <c r="CZ188" s="45">
        <v>280</v>
      </c>
    </row>
    <row r="189" spans="103:104" x14ac:dyDescent="0.3">
      <c r="CY189" s="43">
        <v>987</v>
      </c>
      <c r="CZ189" s="45">
        <v>280</v>
      </c>
    </row>
    <row r="190" spans="103:104" x14ac:dyDescent="0.3">
      <c r="CY190" s="43">
        <v>990</v>
      </c>
      <c r="CZ190" s="45">
        <v>280</v>
      </c>
    </row>
    <row r="191" spans="103:104" x14ac:dyDescent="0.3">
      <c r="CY191" s="43">
        <v>995</v>
      </c>
      <c r="CZ191" s="45">
        <v>0</v>
      </c>
    </row>
  </sheetData>
  <sheetProtection algorithmName="SHA-512" hashValue="vvWpl8z5tAFrmjHbNs5SLYG32TeEH+zE3nmKWrPX3gJxt1NR5GVw0gBnW4pCxJVtWLs6Sq82Fr1ux1x9K+epWg==" saltValue="Qk0biiIThUOKTNo+lqTkqw==" spinCount="100000" sheet="1" objects="1" scenarios="1" selectLockedCells="1"/>
  <mergeCells count="89">
    <mergeCell ref="A56:D56"/>
    <mergeCell ref="F17:G17"/>
    <mergeCell ref="A18:E18"/>
    <mergeCell ref="A43:G43"/>
    <mergeCell ref="A32:E32"/>
    <mergeCell ref="A33:E33"/>
    <mergeCell ref="A46:E46"/>
    <mergeCell ref="A35:E35"/>
    <mergeCell ref="F39:G39"/>
    <mergeCell ref="F40:G40"/>
    <mergeCell ref="F41:G41"/>
    <mergeCell ref="F42:G42"/>
    <mergeCell ref="F44:G44"/>
    <mergeCell ref="F22:G22"/>
    <mergeCell ref="F23:G23"/>
    <mergeCell ref="A48:G48"/>
    <mergeCell ref="A49:G51"/>
    <mergeCell ref="A53:G54"/>
    <mergeCell ref="A17:E17"/>
    <mergeCell ref="A20:E20"/>
    <mergeCell ref="A19:E19"/>
    <mergeCell ref="F20:G20"/>
    <mergeCell ref="A21:E21"/>
    <mergeCell ref="F21:G21"/>
    <mergeCell ref="A41:E41"/>
    <mergeCell ref="A42:E42"/>
    <mergeCell ref="A44:E44"/>
    <mergeCell ref="F28:G28"/>
    <mergeCell ref="A34:E34"/>
    <mergeCell ref="A38:E38"/>
    <mergeCell ref="A29:G29"/>
    <mergeCell ref="A36:E36"/>
    <mergeCell ref="F30:G30"/>
    <mergeCell ref="A11:E11"/>
    <mergeCell ref="A12:E12"/>
    <mergeCell ref="A13:E13"/>
    <mergeCell ref="F12:G12"/>
    <mergeCell ref="F13:G13"/>
    <mergeCell ref="A24:E24"/>
    <mergeCell ref="A10:G10"/>
    <mergeCell ref="A16:G16"/>
    <mergeCell ref="F46:G46"/>
    <mergeCell ref="F32:G32"/>
    <mergeCell ref="F33:G33"/>
    <mergeCell ref="F34:G34"/>
    <mergeCell ref="F35:G35"/>
    <mergeCell ref="F38:G38"/>
    <mergeCell ref="F37:G37"/>
    <mergeCell ref="A45:E45"/>
    <mergeCell ref="A28:E28"/>
    <mergeCell ref="A30:E30"/>
    <mergeCell ref="A31:E31"/>
    <mergeCell ref="F45:G45"/>
    <mergeCell ref="F36:G36"/>
    <mergeCell ref="A25:E25"/>
    <mergeCell ref="A26:E26"/>
    <mergeCell ref="F18:G18"/>
    <mergeCell ref="F19:G19"/>
    <mergeCell ref="A59:E59"/>
    <mergeCell ref="A37:E37"/>
    <mergeCell ref="F31:G31"/>
    <mergeCell ref="A39:E39"/>
    <mergeCell ref="A40:E40"/>
    <mergeCell ref="F27:G27"/>
    <mergeCell ref="A27:E27"/>
    <mergeCell ref="F24:G24"/>
    <mergeCell ref="F25:G25"/>
    <mergeCell ref="F26:G26"/>
    <mergeCell ref="A22:E22"/>
    <mergeCell ref="A23:E23"/>
    <mergeCell ref="A1:G1"/>
    <mergeCell ref="A2:D2"/>
    <mergeCell ref="A3:G3"/>
    <mergeCell ref="A5:D5"/>
    <mergeCell ref="A6:D6"/>
    <mergeCell ref="F6:G6"/>
    <mergeCell ref="A4:G4"/>
    <mergeCell ref="F5:G5"/>
    <mergeCell ref="F15:G15"/>
    <mergeCell ref="F11:G11"/>
    <mergeCell ref="A9:D9"/>
    <mergeCell ref="F9:G9"/>
    <mergeCell ref="A7:D7"/>
    <mergeCell ref="F7:G7"/>
    <mergeCell ref="A8:D8"/>
    <mergeCell ref="F8:G8"/>
    <mergeCell ref="F14:G14"/>
    <mergeCell ref="A14:E14"/>
    <mergeCell ref="A15:E15"/>
  </mergeCells>
  <dataValidations count="11">
    <dataValidation type="decimal" allowBlank="1" showInputMessage="1" showErrorMessage="1" error="Champ numérique positif_x000a_" sqref="F25:F28 F34:G34 F40 F42">
      <formula1>0</formula1>
      <formula2>9999</formula2>
    </dataValidation>
    <dataValidation type="decimal" allowBlank="1" showInputMessage="1" showErrorMessage="1" error="Champ numérique positif" sqref="F15:G15">
      <formula1>0</formula1>
      <formula2>1000</formula2>
    </dataValidation>
    <dataValidation type="decimal" allowBlank="1" showInputMessage="1" showErrorMessage="1" error="Champ numérique positif" sqref="F21:G21 F17:G17">
      <formula1>0</formula1>
      <formula2>9999</formula2>
    </dataValidation>
    <dataValidation type="list" allowBlank="1" showInputMessage="1" showErrorMessage="1" error="Répondre oui ou non" sqref="F36:G36 F30:G30 F11:G13">
      <formula1>ouinon</formula1>
    </dataValidation>
    <dataValidation type="list" allowBlank="1" showInputMessage="1" showErrorMessage="1" error="Mauvais numéro de zone" sqref="F18:G18">
      <formula1>zone</formula1>
    </dataValidation>
    <dataValidation type="decimal" allowBlank="1" showInputMessage="1" showErrorMessage="1" error="Ne peut excéder 100%" sqref="F19:G19 F22:G22 F14:G14">
      <formula1>0</formula1>
      <formula2>1</formula2>
    </dataValidation>
    <dataValidation allowBlank="1" showInputMessage="1" showErrorMessage="1" error="Champ numérique positif_x000a_" sqref="F23:G24 F41:G41"/>
    <dataValidation type="decimal" allowBlank="1" showInputMessage="1" showErrorMessage="1" error="Ne doit dépasser 100%_x000a_" sqref="F31:G31">
      <formula1>0</formula1>
      <formula2>1</formula2>
    </dataValidation>
    <dataValidation type="decimal" allowBlank="1" showInputMessage="1" showErrorMessage="1" error="Ne doit pas excéder 100%_x000a_" sqref="F37:G37">
      <formula1>0</formula1>
      <formula2>1</formula2>
    </dataValidation>
    <dataValidation allowBlank="1" showInputMessage="1" showErrorMessage="1" sqref="F45:G45"/>
    <dataValidation type="list" allowBlank="1" showInputMessage="1" showErrorMessage="1" sqref="F5:G5">
      <formula1>UAF</formula1>
    </dataValidation>
  </dataValidations>
  <pageMargins left="1.0236220472440944" right="0.96" top="0.47244094488188981" bottom="0.47244094488188981" header="0.47244094488188981" footer="0.27559055118110237"/>
  <pageSetup paperSize="5" scale="91" orientation="portrait" r:id="rId1"/>
  <headerFooter>
    <oddFooter>&amp;LBMMB&amp;R2016-05-11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zoomScale="90" zoomScaleNormal="90" workbookViewId="0">
      <selection activeCell="D19" sqref="D19:D28"/>
    </sheetView>
  </sheetViews>
  <sheetFormatPr baseColWidth="10" defaultRowHeight="14.4" x14ac:dyDescent="0.3"/>
  <cols>
    <col min="1" max="1" width="21.88671875" customWidth="1"/>
    <col min="2" max="2" width="15.33203125" customWidth="1"/>
    <col min="3" max="3" width="15.44140625" customWidth="1"/>
    <col min="4" max="4" width="21.21875" customWidth="1"/>
    <col min="5" max="5" width="62" bestFit="1" customWidth="1"/>
    <col min="6" max="6" width="17.21875" bestFit="1" customWidth="1"/>
    <col min="7" max="7" width="9.33203125" customWidth="1"/>
    <col min="8" max="8" width="11.5546875" customWidth="1"/>
  </cols>
  <sheetData>
    <row r="1" spans="1:7" ht="21.6" thickBot="1" x14ac:dyDescent="0.45">
      <c r="A1" s="402" t="s">
        <v>146</v>
      </c>
      <c r="B1" s="403"/>
      <c r="C1" s="403"/>
      <c r="D1" s="403"/>
      <c r="E1" s="403"/>
      <c r="F1" s="403"/>
      <c r="G1" s="404"/>
    </row>
    <row r="2" spans="1:7" x14ac:dyDescent="0.3">
      <c r="A2" s="394" t="s">
        <v>266</v>
      </c>
      <c r="B2" s="396" t="s">
        <v>267</v>
      </c>
      <c r="C2" s="396" t="s">
        <v>268</v>
      </c>
      <c r="D2" s="396" t="s">
        <v>265</v>
      </c>
      <c r="E2" s="396" t="s">
        <v>264</v>
      </c>
      <c r="F2" s="396" t="s">
        <v>269</v>
      </c>
      <c r="G2" s="398" t="s">
        <v>270</v>
      </c>
    </row>
    <row r="3" spans="1:7" ht="15" thickBot="1" x14ac:dyDescent="0.35">
      <c r="A3" s="405"/>
      <c r="B3" s="400"/>
      <c r="C3" s="400"/>
      <c r="D3" s="400"/>
      <c r="E3" s="400"/>
      <c r="F3" s="400"/>
      <c r="G3" s="401"/>
    </row>
    <row r="4" spans="1:7" x14ac:dyDescent="0.3">
      <c r="A4" s="389" t="s">
        <v>25</v>
      </c>
      <c r="B4" s="406" t="s">
        <v>140</v>
      </c>
      <c r="C4" s="380" t="s">
        <v>131</v>
      </c>
      <c r="D4" s="387" t="s">
        <v>137</v>
      </c>
      <c r="E4" s="380" t="s">
        <v>141</v>
      </c>
      <c r="F4" s="81" t="s">
        <v>26</v>
      </c>
      <c r="G4" s="82">
        <v>1</v>
      </c>
    </row>
    <row r="5" spans="1:7" x14ac:dyDescent="0.3">
      <c r="A5" s="390"/>
      <c r="B5" s="407"/>
      <c r="C5" s="378"/>
      <c r="D5" s="379"/>
      <c r="E5" s="378"/>
      <c r="F5" s="83" t="s">
        <v>27</v>
      </c>
      <c r="G5" s="84">
        <v>1</v>
      </c>
    </row>
    <row r="6" spans="1:7" x14ac:dyDescent="0.3">
      <c r="A6" s="390"/>
      <c r="B6" s="407"/>
      <c r="C6" s="378"/>
      <c r="D6" s="379"/>
      <c r="E6" s="378"/>
      <c r="F6" s="83" t="s">
        <v>28</v>
      </c>
      <c r="G6" s="84">
        <v>1</v>
      </c>
    </row>
    <row r="7" spans="1:7" x14ac:dyDescent="0.3">
      <c r="A7" s="390"/>
      <c r="B7" s="407"/>
      <c r="C7" s="378"/>
      <c r="D7" s="379"/>
      <c r="E7" s="378"/>
      <c r="F7" s="83" t="s">
        <v>29</v>
      </c>
      <c r="G7" s="84">
        <v>1</v>
      </c>
    </row>
    <row r="8" spans="1:7" x14ac:dyDescent="0.3">
      <c r="A8" s="390"/>
      <c r="B8" s="407"/>
      <c r="C8" s="378"/>
      <c r="D8" s="379"/>
      <c r="E8" s="378"/>
      <c r="F8" s="83" t="s">
        <v>30</v>
      </c>
      <c r="G8" s="84">
        <v>1</v>
      </c>
    </row>
    <row r="9" spans="1:7" x14ac:dyDescent="0.3">
      <c r="A9" s="390"/>
      <c r="B9" s="407"/>
      <c r="C9" s="378"/>
      <c r="D9" s="379"/>
      <c r="E9" s="378"/>
      <c r="F9" s="83" t="s">
        <v>31</v>
      </c>
      <c r="G9" s="84">
        <v>1</v>
      </c>
    </row>
    <row r="10" spans="1:7" x14ac:dyDescent="0.3">
      <c r="A10" s="390" t="s">
        <v>32</v>
      </c>
      <c r="B10" s="407" t="s">
        <v>140</v>
      </c>
      <c r="C10" s="378" t="s">
        <v>131</v>
      </c>
      <c r="D10" s="379" t="s">
        <v>137</v>
      </c>
      <c r="E10" s="378" t="s">
        <v>141</v>
      </c>
      <c r="F10" s="83" t="s">
        <v>26</v>
      </c>
      <c r="G10" s="84">
        <v>2</v>
      </c>
    </row>
    <row r="11" spans="1:7" x14ac:dyDescent="0.3">
      <c r="A11" s="390"/>
      <c r="B11" s="407"/>
      <c r="C11" s="378"/>
      <c r="D11" s="379"/>
      <c r="E11" s="378"/>
      <c r="F11" s="83" t="s">
        <v>27</v>
      </c>
      <c r="G11" s="84">
        <v>2</v>
      </c>
    </row>
    <row r="12" spans="1:7" x14ac:dyDescent="0.3">
      <c r="A12" s="390"/>
      <c r="B12" s="407"/>
      <c r="C12" s="378"/>
      <c r="D12" s="379"/>
      <c r="E12" s="378"/>
      <c r="F12" s="83" t="s">
        <v>28</v>
      </c>
      <c r="G12" s="84">
        <v>2</v>
      </c>
    </row>
    <row r="13" spans="1:7" x14ac:dyDescent="0.3">
      <c r="A13" s="390"/>
      <c r="B13" s="407"/>
      <c r="C13" s="378"/>
      <c r="D13" s="379"/>
      <c r="E13" s="378"/>
      <c r="F13" s="83" t="s">
        <v>29</v>
      </c>
      <c r="G13" s="84">
        <v>2</v>
      </c>
    </row>
    <row r="14" spans="1:7" x14ac:dyDescent="0.3">
      <c r="A14" s="390"/>
      <c r="B14" s="407"/>
      <c r="C14" s="378"/>
      <c r="D14" s="379"/>
      <c r="E14" s="378"/>
      <c r="F14" s="83" t="s">
        <v>30</v>
      </c>
      <c r="G14" s="84">
        <v>2</v>
      </c>
    </row>
    <row r="15" spans="1:7" ht="15" thickBot="1" x14ac:dyDescent="0.35">
      <c r="A15" s="391"/>
      <c r="B15" s="408"/>
      <c r="C15" s="388"/>
      <c r="D15" s="386"/>
      <c r="E15" s="388"/>
      <c r="F15" s="85" t="s">
        <v>31</v>
      </c>
      <c r="G15" s="86">
        <v>2</v>
      </c>
    </row>
    <row r="16" spans="1:7" ht="21.6" thickBot="1" x14ac:dyDescent="0.45">
      <c r="A16" s="402" t="s">
        <v>147</v>
      </c>
      <c r="B16" s="403"/>
      <c r="C16" s="403"/>
      <c r="D16" s="403"/>
      <c r="E16" s="403"/>
      <c r="F16" s="403"/>
      <c r="G16" s="404"/>
    </row>
    <row r="17" spans="1:7" x14ac:dyDescent="0.3">
      <c r="A17" s="394" t="s">
        <v>266</v>
      </c>
      <c r="B17" s="396" t="s">
        <v>267</v>
      </c>
      <c r="C17" s="396" t="s">
        <v>268</v>
      </c>
      <c r="D17" s="396" t="s">
        <v>265</v>
      </c>
      <c r="E17" s="396" t="s">
        <v>264</v>
      </c>
      <c r="F17" s="396" t="s">
        <v>269</v>
      </c>
      <c r="G17" s="398" t="s">
        <v>270</v>
      </c>
    </row>
    <row r="18" spans="1:7" ht="15" thickBot="1" x14ac:dyDescent="0.35">
      <c r="A18" s="395"/>
      <c r="B18" s="397"/>
      <c r="C18" s="397"/>
      <c r="D18" s="397"/>
      <c r="E18" s="397"/>
      <c r="F18" s="397"/>
      <c r="G18" s="399"/>
    </row>
    <row r="19" spans="1:7" ht="13.95" customHeight="1" x14ac:dyDescent="0.3">
      <c r="A19" s="392" t="s">
        <v>32</v>
      </c>
      <c r="B19" s="383" t="s">
        <v>61</v>
      </c>
      <c r="C19" s="377" t="s">
        <v>131</v>
      </c>
      <c r="D19" s="377" t="s">
        <v>257</v>
      </c>
      <c r="E19" s="383" t="s">
        <v>37</v>
      </c>
      <c r="F19" s="87" t="s">
        <v>38</v>
      </c>
      <c r="G19" s="88">
        <v>4</v>
      </c>
    </row>
    <row r="20" spans="1:7" ht="13.95" customHeight="1" x14ac:dyDescent="0.3">
      <c r="A20" s="390"/>
      <c r="B20" s="379"/>
      <c r="C20" s="377"/>
      <c r="D20" s="377"/>
      <c r="E20" s="379"/>
      <c r="F20" s="83" t="s">
        <v>39</v>
      </c>
      <c r="G20" s="89">
        <v>4</v>
      </c>
    </row>
    <row r="21" spans="1:7" ht="13.95" customHeight="1" x14ac:dyDescent="0.3">
      <c r="A21" s="390"/>
      <c r="B21" s="379"/>
      <c r="C21" s="377"/>
      <c r="D21" s="377"/>
      <c r="E21" s="379"/>
      <c r="F21" s="83" t="s">
        <v>40</v>
      </c>
      <c r="G21" s="89">
        <v>4</v>
      </c>
    </row>
    <row r="22" spans="1:7" ht="13.95" customHeight="1" x14ac:dyDescent="0.3">
      <c r="A22" s="390"/>
      <c r="B22" s="379"/>
      <c r="C22" s="377"/>
      <c r="D22" s="377"/>
      <c r="E22" s="379"/>
      <c r="F22" s="83" t="s">
        <v>41</v>
      </c>
      <c r="G22" s="89">
        <v>4</v>
      </c>
    </row>
    <row r="23" spans="1:7" ht="13.95" customHeight="1" x14ac:dyDescent="0.3">
      <c r="A23" s="390"/>
      <c r="B23" s="379"/>
      <c r="C23" s="377"/>
      <c r="D23" s="377"/>
      <c r="E23" s="379"/>
      <c r="F23" s="83" t="s">
        <v>42</v>
      </c>
      <c r="G23" s="89">
        <v>4</v>
      </c>
    </row>
    <row r="24" spans="1:7" ht="13.95" customHeight="1" x14ac:dyDescent="0.3">
      <c r="A24" s="390"/>
      <c r="B24" s="379"/>
      <c r="C24" s="377"/>
      <c r="D24" s="377"/>
      <c r="E24" s="379"/>
      <c r="F24" s="83" t="s">
        <v>43</v>
      </c>
      <c r="G24" s="89">
        <v>4</v>
      </c>
    </row>
    <row r="25" spans="1:7" ht="13.95" customHeight="1" x14ac:dyDescent="0.3">
      <c r="A25" s="390"/>
      <c r="B25" s="379"/>
      <c r="C25" s="377"/>
      <c r="D25" s="377"/>
      <c r="E25" s="379" t="s">
        <v>129</v>
      </c>
      <c r="F25" s="90" t="s">
        <v>33</v>
      </c>
      <c r="G25" s="89">
        <v>4</v>
      </c>
    </row>
    <row r="26" spans="1:7" ht="13.95" customHeight="1" x14ac:dyDescent="0.3">
      <c r="A26" s="390"/>
      <c r="B26" s="379"/>
      <c r="C26" s="377"/>
      <c r="D26" s="377"/>
      <c r="E26" s="379"/>
      <c r="F26" s="90" t="s">
        <v>34</v>
      </c>
      <c r="G26" s="89">
        <v>4</v>
      </c>
    </row>
    <row r="27" spans="1:7" ht="13.95" customHeight="1" x14ac:dyDescent="0.3">
      <c r="A27" s="390"/>
      <c r="B27" s="379"/>
      <c r="C27" s="377"/>
      <c r="D27" s="377"/>
      <c r="E27" s="379"/>
      <c r="F27" s="90" t="s">
        <v>35</v>
      </c>
      <c r="G27" s="89">
        <v>4</v>
      </c>
    </row>
    <row r="28" spans="1:7" ht="13.95" customHeight="1" x14ac:dyDescent="0.3">
      <c r="A28" s="390"/>
      <c r="B28" s="379"/>
      <c r="C28" s="377"/>
      <c r="D28" s="377"/>
      <c r="E28" s="379"/>
      <c r="F28" s="90" t="s">
        <v>36</v>
      </c>
      <c r="G28" s="89">
        <v>4</v>
      </c>
    </row>
    <row r="29" spans="1:7" ht="13.95" customHeight="1" x14ac:dyDescent="0.3">
      <c r="A29" s="390"/>
      <c r="B29" s="379"/>
      <c r="C29" s="377"/>
      <c r="D29" s="379" t="s">
        <v>137</v>
      </c>
      <c r="E29" s="378" t="s">
        <v>132</v>
      </c>
      <c r="F29" s="83" t="s">
        <v>45</v>
      </c>
      <c r="G29" s="89">
        <v>4</v>
      </c>
    </row>
    <row r="30" spans="1:7" ht="13.95" customHeight="1" x14ac:dyDescent="0.3">
      <c r="A30" s="390"/>
      <c r="B30" s="379"/>
      <c r="C30" s="377"/>
      <c r="D30" s="379"/>
      <c r="E30" s="378"/>
      <c r="F30" s="83" t="s">
        <v>44</v>
      </c>
      <c r="G30" s="89">
        <v>4</v>
      </c>
    </row>
    <row r="31" spans="1:7" ht="13.95" customHeight="1" x14ac:dyDescent="0.3">
      <c r="A31" s="390"/>
      <c r="B31" s="379"/>
      <c r="C31" s="377"/>
      <c r="D31" s="379"/>
      <c r="E31" s="378"/>
      <c r="F31" s="83" t="s">
        <v>125</v>
      </c>
      <c r="G31" s="89">
        <v>4</v>
      </c>
    </row>
    <row r="32" spans="1:7" ht="13.95" customHeight="1" x14ac:dyDescent="0.3">
      <c r="A32" s="390"/>
      <c r="B32" s="379"/>
      <c r="C32" s="377"/>
      <c r="D32" s="379" t="s">
        <v>138</v>
      </c>
      <c r="E32" s="378" t="s">
        <v>136</v>
      </c>
      <c r="F32" s="83" t="s">
        <v>46</v>
      </c>
      <c r="G32" s="89">
        <v>4</v>
      </c>
    </row>
    <row r="33" spans="1:7" ht="13.95" customHeight="1" x14ac:dyDescent="0.3">
      <c r="A33" s="390"/>
      <c r="B33" s="379"/>
      <c r="C33" s="377"/>
      <c r="D33" s="379"/>
      <c r="E33" s="378"/>
      <c r="F33" s="83" t="s">
        <v>47</v>
      </c>
      <c r="G33" s="89">
        <v>4</v>
      </c>
    </row>
    <row r="34" spans="1:7" ht="13.95" customHeight="1" x14ac:dyDescent="0.3">
      <c r="A34" s="390"/>
      <c r="B34" s="379"/>
      <c r="C34" s="377"/>
      <c r="D34" s="379"/>
      <c r="E34" s="378" t="s">
        <v>124</v>
      </c>
      <c r="F34" s="83" t="s">
        <v>48</v>
      </c>
      <c r="G34" s="89">
        <v>4</v>
      </c>
    </row>
    <row r="35" spans="1:7" ht="13.95" customHeight="1" x14ac:dyDescent="0.3">
      <c r="A35" s="390"/>
      <c r="B35" s="379"/>
      <c r="C35" s="377"/>
      <c r="D35" s="379"/>
      <c r="E35" s="378"/>
      <c r="F35" s="83" t="s">
        <v>49</v>
      </c>
      <c r="G35" s="89">
        <v>4</v>
      </c>
    </row>
    <row r="36" spans="1:7" ht="13.95" customHeight="1" x14ac:dyDescent="0.3">
      <c r="A36" s="390"/>
      <c r="B36" s="379"/>
      <c r="C36" s="377"/>
      <c r="D36" s="379"/>
      <c r="E36" s="378"/>
      <c r="F36" s="83" t="s">
        <v>50</v>
      </c>
      <c r="G36" s="89">
        <v>4</v>
      </c>
    </row>
    <row r="37" spans="1:7" ht="13.95" customHeight="1" x14ac:dyDescent="0.3">
      <c r="A37" s="390"/>
      <c r="B37" s="379"/>
      <c r="C37" s="377"/>
      <c r="D37" s="379"/>
      <c r="E37" s="378"/>
      <c r="F37" s="83" t="s">
        <v>51</v>
      </c>
      <c r="G37" s="89">
        <v>4</v>
      </c>
    </row>
    <row r="38" spans="1:7" ht="13.95" customHeight="1" x14ac:dyDescent="0.3">
      <c r="A38" s="390"/>
      <c r="B38" s="379"/>
      <c r="C38" s="377"/>
      <c r="D38" s="379"/>
      <c r="E38" s="378"/>
      <c r="F38" s="83" t="s">
        <v>52</v>
      </c>
      <c r="G38" s="89">
        <v>4</v>
      </c>
    </row>
    <row r="39" spans="1:7" ht="13.95" customHeight="1" x14ac:dyDescent="0.3">
      <c r="A39" s="390"/>
      <c r="B39" s="379"/>
      <c r="C39" s="383"/>
      <c r="D39" s="379"/>
      <c r="E39" s="378"/>
      <c r="F39" s="83" t="s">
        <v>53</v>
      </c>
      <c r="G39" s="89">
        <v>4</v>
      </c>
    </row>
    <row r="40" spans="1:7" ht="13.95" customHeight="1" x14ac:dyDescent="0.3">
      <c r="A40" s="390"/>
      <c r="B40" s="379"/>
      <c r="C40" s="384" t="s">
        <v>135</v>
      </c>
      <c r="D40" s="379" t="s">
        <v>139</v>
      </c>
      <c r="E40" s="91" t="s">
        <v>130</v>
      </c>
      <c r="F40" s="83" t="s">
        <v>134</v>
      </c>
      <c r="G40" s="89">
        <v>4</v>
      </c>
    </row>
    <row r="41" spans="1:7" ht="13.95" customHeight="1" x14ac:dyDescent="0.3">
      <c r="A41" s="390"/>
      <c r="B41" s="379"/>
      <c r="C41" s="377"/>
      <c r="D41" s="379"/>
      <c r="E41" s="91" t="s">
        <v>133</v>
      </c>
      <c r="F41" s="83" t="s">
        <v>54</v>
      </c>
      <c r="G41" s="89">
        <v>4</v>
      </c>
    </row>
    <row r="42" spans="1:7" ht="13.95" customHeight="1" x14ac:dyDescent="0.3">
      <c r="A42" s="390"/>
      <c r="B42" s="379"/>
      <c r="C42" s="377"/>
      <c r="D42" s="379" t="s">
        <v>137</v>
      </c>
      <c r="E42" s="378" t="s">
        <v>126</v>
      </c>
      <c r="F42" s="83" t="s">
        <v>127</v>
      </c>
      <c r="G42" s="89">
        <v>4</v>
      </c>
    </row>
    <row r="43" spans="1:7" ht="13.95" customHeight="1" x14ac:dyDescent="0.3">
      <c r="A43" s="390"/>
      <c r="B43" s="379"/>
      <c r="C43" s="377"/>
      <c r="D43" s="379"/>
      <c r="E43" s="378"/>
      <c r="F43" s="83" t="s">
        <v>128</v>
      </c>
      <c r="G43" s="89">
        <v>4</v>
      </c>
    </row>
    <row r="44" spans="1:7" ht="13.95" customHeight="1" x14ac:dyDescent="0.3">
      <c r="A44" s="390"/>
      <c r="B44" s="379"/>
      <c r="C44" s="377"/>
      <c r="D44" s="377" t="s">
        <v>138</v>
      </c>
      <c r="E44" s="378" t="s">
        <v>124</v>
      </c>
      <c r="F44" s="83" t="s">
        <v>48</v>
      </c>
      <c r="G44" s="89">
        <v>4</v>
      </c>
    </row>
    <row r="45" spans="1:7" ht="13.95" customHeight="1" x14ac:dyDescent="0.3">
      <c r="A45" s="390"/>
      <c r="B45" s="379"/>
      <c r="C45" s="377"/>
      <c r="D45" s="377"/>
      <c r="E45" s="378"/>
      <c r="F45" s="83" t="s">
        <v>49</v>
      </c>
      <c r="G45" s="89">
        <v>4</v>
      </c>
    </row>
    <row r="46" spans="1:7" ht="13.95" customHeight="1" x14ac:dyDescent="0.3">
      <c r="A46" s="390"/>
      <c r="B46" s="379"/>
      <c r="C46" s="377"/>
      <c r="D46" s="377"/>
      <c r="E46" s="378"/>
      <c r="F46" s="83" t="s">
        <v>50</v>
      </c>
      <c r="G46" s="89">
        <v>4</v>
      </c>
    </row>
    <row r="47" spans="1:7" ht="13.95" customHeight="1" x14ac:dyDescent="0.3">
      <c r="A47" s="390"/>
      <c r="B47" s="379"/>
      <c r="C47" s="377"/>
      <c r="D47" s="377"/>
      <c r="E47" s="378"/>
      <c r="F47" s="83" t="s">
        <v>51</v>
      </c>
      <c r="G47" s="89">
        <v>4</v>
      </c>
    </row>
    <row r="48" spans="1:7" ht="13.95" customHeight="1" x14ac:dyDescent="0.3">
      <c r="A48" s="390"/>
      <c r="B48" s="379"/>
      <c r="C48" s="377"/>
      <c r="D48" s="377"/>
      <c r="E48" s="378"/>
      <c r="F48" s="83" t="s">
        <v>52</v>
      </c>
      <c r="G48" s="89">
        <v>4</v>
      </c>
    </row>
    <row r="49" spans="1:7" ht="13.95" customHeight="1" thickBot="1" x14ac:dyDescent="0.35">
      <c r="A49" s="393"/>
      <c r="B49" s="384"/>
      <c r="C49" s="377"/>
      <c r="D49" s="385"/>
      <c r="E49" s="381"/>
      <c r="F49" s="92" t="s">
        <v>53</v>
      </c>
      <c r="G49" s="93">
        <v>4</v>
      </c>
    </row>
    <row r="50" spans="1:7" ht="13.95" customHeight="1" x14ac:dyDescent="0.3">
      <c r="A50" s="389" t="s">
        <v>32</v>
      </c>
      <c r="B50" s="380" t="s">
        <v>62</v>
      </c>
      <c r="C50" s="387" t="s">
        <v>131</v>
      </c>
      <c r="D50" s="382" t="s">
        <v>137</v>
      </c>
      <c r="E50" s="380" t="s">
        <v>132</v>
      </c>
      <c r="F50" s="81" t="s">
        <v>45</v>
      </c>
      <c r="G50" s="94">
        <v>5</v>
      </c>
    </row>
    <row r="51" spans="1:7" ht="13.95" customHeight="1" x14ac:dyDescent="0.3">
      <c r="A51" s="390"/>
      <c r="B51" s="378"/>
      <c r="C51" s="379"/>
      <c r="D51" s="377"/>
      <c r="E51" s="378"/>
      <c r="F51" s="83" t="s">
        <v>44</v>
      </c>
      <c r="G51" s="89">
        <v>5</v>
      </c>
    </row>
    <row r="52" spans="1:7" ht="13.95" customHeight="1" x14ac:dyDescent="0.3">
      <c r="A52" s="390"/>
      <c r="B52" s="378"/>
      <c r="C52" s="379"/>
      <c r="D52" s="383"/>
      <c r="E52" s="378"/>
      <c r="F52" s="83" t="s">
        <v>125</v>
      </c>
      <c r="G52" s="89">
        <v>5</v>
      </c>
    </row>
    <row r="53" spans="1:7" ht="13.95" customHeight="1" x14ac:dyDescent="0.3">
      <c r="A53" s="390"/>
      <c r="B53" s="378"/>
      <c r="C53" s="379"/>
      <c r="D53" s="384" t="s">
        <v>138</v>
      </c>
      <c r="E53" s="378" t="s">
        <v>136</v>
      </c>
      <c r="F53" s="83" t="s">
        <v>46</v>
      </c>
      <c r="G53" s="89">
        <v>5</v>
      </c>
    </row>
    <row r="54" spans="1:7" ht="13.95" customHeight="1" x14ac:dyDescent="0.3">
      <c r="A54" s="390"/>
      <c r="B54" s="378"/>
      <c r="C54" s="379"/>
      <c r="D54" s="377"/>
      <c r="E54" s="378"/>
      <c r="F54" s="83" t="s">
        <v>47</v>
      </c>
      <c r="G54" s="89">
        <v>5</v>
      </c>
    </row>
    <row r="55" spans="1:7" ht="13.95" customHeight="1" x14ac:dyDescent="0.3">
      <c r="A55" s="390"/>
      <c r="B55" s="378"/>
      <c r="C55" s="379"/>
      <c r="D55" s="377"/>
      <c r="E55" s="378" t="s">
        <v>124</v>
      </c>
      <c r="F55" s="83" t="s">
        <v>48</v>
      </c>
      <c r="G55" s="89">
        <v>5</v>
      </c>
    </row>
    <row r="56" spans="1:7" ht="13.95" customHeight="1" x14ac:dyDescent="0.3">
      <c r="A56" s="390"/>
      <c r="B56" s="378"/>
      <c r="C56" s="379"/>
      <c r="D56" s="377"/>
      <c r="E56" s="378"/>
      <c r="F56" s="83" t="s">
        <v>49</v>
      </c>
      <c r="G56" s="89">
        <v>5</v>
      </c>
    </row>
    <row r="57" spans="1:7" ht="13.95" customHeight="1" x14ac:dyDescent="0.3">
      <c r="A57" s="390"/>
      <c r="B57" s="378"/>
      <c r="C57" s="379"/>
      <c r="D57" s="377"/>
      <c r="E57" s="378"/>
      <c r="F57" s="83" t="s">
        <v>50</v>
      </c>
      <c r="G57" s="89">
        <v>5</v>
      </c>
    </row>
    <row r="58" spans="1:7" ht="13.95" customHeight="1" x14ac:dyDescent="0.3">
      <c r="A58" s="390"/>
      <c r="B58" s="378"/>
      <c r="C58" s="379"/>
      <c r="D58" s="377"/>
      <c r="E58" s="378"/>
      <c r="F58" s="83" t="s">
        <v>51</v>
      </c>
      <c r="G58" s="89">
        <v>5</v>
      </c>
    </row>
    <row r="59" spans="1:7" ht="13.95" customHeight="1" x14ac:dyDescent="0.3">
      <c r="A59" s="390"/>
      <c r="B59" s="378"/>
      <c r="C59" s="379"/>
      <c r="D59" s="377"/>
      <c r="E59" s="378"/>
      <c r="F59" s="83" t="s">
        <v>52</v>
      </c>
      <c r="G59" s="89">
        <v>5</v>
      </c>
    </row>
    <row r="60" spans="1:7" ht="13.95" customHeight="1" x14ac:dyDescent="0.3">
      <c r="A60" s="390"/>
      <c r="B60" s="378"/>
      <c r="C60" s="379"/>
      <c r="D60" s="383"/>
      <c r="E60" s="378"/>
      <c r="F60" s="83" t="s">
        <v>53</v>
      </c>
      <c r="G60" s="89">
        <v>5</v>
      </c>
    </row>
    <row r="61" spans="1:7" ht="13.95" customHeight="1" x14ac:dyDescent="0.3">
      <c r="A61" s="390"/>
      <c r="B61" s="378"/>
      <c r="C61" s="379" t="s">
        <v>135</v>
      </c>
      <c r="D61" s="379" t="s">
        <v>139</v>
      </c>
      <c r="E61" s="91" t="s">
        <v>130</v>
      </c>
      <c r="F61" s="83" t="s">
        <v>134</v>
      </c>
      <c r="G61" s="89">
        <v>5</v>
      </c>
    </row>
    <row r="62" spans="1:7" ht="13.95" customHeight="1" x14ac:dyDescent="0.3">
      <c r="A62" s="390"/>
      <c r="B62" s="378"/>
      <c r="C62" s="379"/>
      <c r="D62" s="379"/>
      <c r="E62" s="91" t="s">
        <v>133</v>
      </c>
      <c r="F62" s="83" t="s">
        <v>54</v>
      </c>
      <c r="G62" s="89">
        <v>5</v>
      </c>
    </row>
    <row r="63" spans="1:7" ht="13.95" customHeight="1" x14ac:dyDescent="0.3">
      <c r="A63" s="390"/>
      <c r="B63" s="378"/>
      <c r="C63" s="379"/>
      <c r="D63" s="384" t="s">
        <v>137</v>
      </c>
      <c r="E63" s="378" t="s">
        <v>126</v>
      </c>
      <c r="F63" s="83" t="s">
        <v>127</v>
      </c>
      <c r="G63" s="89">
        <v>5</v>
      </c>
    </row>
    <row r="64" spans="1:7" ht="13.95" customHeight="1" x14ac:dyDescent="0.3">
      <c r="A64" s="390"/>
      <c r="B64" s="378"/>
      <c r="C64" s="379"/>
      <c r="D64" s="383"/>
      <c r="E64" s="378"/>
      <c r="F64" s="83" t="s">
        <v>128</v>
      </c>
      <c r="G64" s="89">
        <v>5</v>
      </c>
    </row>
    <row r="65" spans="1:7" ht="13.95" customHeight="1" x14ac:dyDescent="0.3">
      <c r="A65" s="390"/>
      <c r="B65" s="378"/>
      <c r="C65" s="379"/>
      <c r="D65" s="384" t="s">
        <v>138</v>
      </c>
      <c r="E65" s="378" t="s">
        <v>124</v>
      </c>
      <c r="F65" s="83" t="s">
        <v>48</v>
      </c>
      <c r="G65" s="89">
        <v>5</v>
      </c>
    </row>
    <row r="66" spans="1:7" ht="13.95" customHeight="1" x14ac:dyDescent="0.3">
      <c r="A66" s="390"/>
      <c r="B66" s="378"/>
      <c r="C66" s="379"/>
      <c r="D66" s="377"/>
      <c r="E66" s="378"/>
      <c r="F66" s="83" t="s">
        <v>49</v>
      </c>
      <c r="G66" s="89">
        <v>5</v>
      </c>
    </row>
    <row r="67" spans="1:7" ht="13.95" customHeight="1" x14ac:dyDescent="0.3">
      <c r="A67" s="390"/>
      <c r="B67" s="378"/>
      <c r="C67" s="379"/>
      <c r="D67" s="377"/>
      <c r="E67" s="378"/>
      <c r="F67" s="83" t="s">
        <v>50</v>
      </c>
      <c r="G67" s="89">
        <v>5</v>
      </c>
    </row>
    <row r="68" spans="1:7" ht="13.95" customHeight="1" x14ac:dyDescent="0.3">
      <c r="A68" s="390"/>
      <c r="B68" s="378"/>
      <c r="C68" s="379"/>
      <c r="D68" s="377"/>
      <c r="E68" s="378"/>
      <c r="F68" s="83" t="s">
        <v>51</v>
      </c>
      <c r="G68" s="89">
        <v>5</v>
      </c>
    </row>
    <row r="69" spans="1:7" ht="13.95" customHeight="1" x14ac:dyDescent="0.3">
      <c r="A69" s="390"/>
      <c r="B69" s="378"/>
      <c r="C69" s="379"/>
      <c r="D69" s="377"/>
      <c r="E69" s="378"/>
      <c r="F69" s="83" t="s">
        <v>52</v>
      </c>
      <c r="G69" s="89">
        <v>5</v>
      </c>
    </row>
    <row r="70" spans="1:7" ht="13.95" customHeight="1" thickBot="1" x14ac:dyDescent="0.35">
      <c r="A70" s="393"/>
      <c r="B70" s="381"/>
      <c r="C70" s="384"/>
      <c r="D70" s="385"/>
      <c r="E70" s="381"/>
      <c r="F70" s="92" t="s">
        <v>53</v>
      </c>
      <c r="G70" s="93">
        <v>5</v>
      </c>
    </row>
    <row r="71" spans="1:7" x14ac:dyDescent="0.3">
      <c r="A71" s="389" t="s">
        <v>25</v>
      </c>
      <c r="B71" s="387" t="s">
        <v>62</v>
      </c>
      <c r="C71" s="382" t="s">
        <v>131</v>
      </c>
      <c r="D71" s="382" t="s">
        <v>137</v>
      </c>
      <c r="E71" s="387" t="s">
        <v>132</v>
      </c>
      <c r="F71" s="81" t="s">
        <v>45</v>
      </c>
      <c r="G71" s="94">
        <v>6</v>
      </c>
    </row>
    <row r="72" spans="1:7" ht="14.4" customHeight="1" x14ac:dyDescent="0.3">
      <c r="A72" s="390"/>
      <c r="B72" s="379"/>
      <c r="C72" s="377"/>
      <c r="D72" s="377"/>
      <c r="E72" s="379"/>
      <c r="F72" s="83" t="s">
        <v>44</v>
      </c>
      <c r="G72" s="89">
        <v>6</v>
      </c>
    </row>
    <row r="73" spans="1:7" x14ac:dyDescent="0.3">
      <c r="A73" s="390"/>
      <c r="B73" s="379"/>
      <c r="C73" s="377"/>
      <c r="D73" s="377"/>
      <c r="E73" s="379"/>
      <c r="F73" s="83" t="s">
        <v>125</v>
      </c>
      <c r="G73" s="89">
        <v>6</v>
      </c>
    </row>
    <row r="74" spans="1:7" x14ac:dyDescent="0.3">
      <c r="A74" s="390"/>
      <c r="B74" s="379"/>
      <c r="C74" s="377"/>
      <c r="D74" s="379" t="s">
        <v>138</v>
      </c>
      <c r="E74" s="378" t="s">
        <v>136</v>
      </c>
      <c r="F74" s="83" t="s">
        <v>46</v>
      </c>
      <c r="G74" s="89">
        <v>6</v>
      </c>
    </row>
    <row r="75" spans="1:7" x14ac:dyDescent="0.3">
      <c r="A75" s="390"/>
      <c r="B75" s="379"/>
      <c r="C75" s="377"/>
      <c r="D75" s="379"/>
      <c r="E75" s="378"/>
      <c r="F75" s="83" t="s">
        <v>47</v>
      </c>
      <c r="G75" s="89">
        <v>6</v>
      </c>
    </row>
    <row r="76" spans="1:7" x14ac:dyDescent="0.3">
      <c r="A76" s="390"/>
      <c r="B76" s="379"/>
      <c r="C76" s="377"/>
      <c r="D76" s="379"/>
      <c r="E76" s="378" t="s">
        <v>124</v>
      </c>
      <c r="F76" s="83" t="s">
        <v>48</v>
      </c>
      <c r="G76" s="89">
        <v>6</v>
      </c>
    </row>
    <row r="77" spans="1:7" x14ac:dyDescent="0.3">
      <c r="A77" s="390"/>
      <c r="B77" s="379"/>
      <c r="C77" s="377"/>
      <c r="D77" s="379"/>
      <c r="E77" s="378"/>
      <c r="F77" s="83" t="s">
        <v>49</v>
      </c>
      <c r="G77" s="89">
        <v>6</v>
      </c>
    </row>
    <row r="78" spans="1:7" x14ac:dyDescent="0.3">
      <c r="A78" s="390"/>
      <c r="B78" s="379"/>
      <c r="C78" s="377"/>
      <c r="D78" s="379"/>
      <c r="E78" s="378"/>
      <c r="F78" s="83" t="s">
        <v>50</v>
      </c>
      <c r="G78" s="89">
        <v>6</v>
      </c>
    </row>
    <row r="79" spans="1:7" x14ac:dyDescent="0.3">
      <c r="A79" s="390"/>
      <c r="B79" s="379"/>
      <c r="C79" s="377"/>
      <c r="D79" s="379"/>
      <c r="E79" s="378"/>
      <c r="F79" s="83" t="s">
        <v>51</v>
      </c>
      <c r="G79" s="89">
        <v>6</v>
      </c>
    </row>
    <row r="80" spans="1:7" x14ac:dyDescent="0.3">
      <c r="A80" s="390"/>
      <c r="B80" s="379"/>
      <c r="C80" s="377"/>
      <c r="D80" s="379"/>
      <c r="E80" s="378"/>
      <c r="F80" s="83" t="s">
        <v>52</v>
      </c>
      <c r="G80" s="89">
        <v>6</v>
      </c>
    </row>
    <row r="81" spans="1:7" x14ac:dyDescent="0.3">
      <c r="A81" s="390"/>
      <c r="B81" s="379"/>
      <c r="C81" s="383"/>
      <c r="D81" s="379"/>
      <c r="E81" s="378"/>
      <c r="F81" s="83" t="s">
        <v>53</v>
      </c>
      <c r="G81" s="89">
        <v>6</v>
      </c>
    </row>
    <row r="82" spans="1:7" ht="14.4" customHeight="1" x14ac:dyDescent="0.3">
      <c r="A82" s="390"/>
      <c r="B82" s="379"/>
      <c r="C82" s="384" t="s">
        <v>135</v>
      </c>
      <c r="D82" s="379" t="s">
        <v>137</v>
      </c>
      <c r="E82" s="378" t="s">
        <v>126</v>
      </c>
      <c r="F82" s="83" t="s">
        <v>127</v>
      </c>
      <c r="G82" s="89">
        <v>6</v>
      </c>
    </row>
    <row r="83" spans="1:7" x14ac:dyDescent="0.3">
      <c r="A83" s="390"/>
      <c r="B83" s="379"/>
      <c r="C83" s="377"/>
      <c r="D83" s="379"/>
      <c r="E83" s="378"/>
      <c r="F83" s="83" t="s">
        <v>128</v>
      </c>
      <c r="G83" s="89">
        <v>6</v>
      </c>
    </row>
    <row r="84" spans="1:7" x14ac:dyDescent="0.3">
      <c r="A84" s="390"/>
      <c r="B84" s="379"/>
      <c r="C84" s="377"/>
      <c r="D84" s="377" t="s">
        <v>138</v>
      </c>
      <c r="E84" s="378" t="s">
        <v>123</v>
      </c>
      <c r="F84" s="83" t="s">
        <v>55</v>
      </c>
      <c r="G84" s="89">
        <v>6</v>
      </c>
    </row>
    <row r="85" spans="1:7" x14ac:dyDescent="0.3">
      <c r="A85" s="390"/>
      <c r="B85" s="379"/>
      <c r="C85" s="377"/>
      <c r="D85" s="377"/>
      <c r="E85" s="378"/>
      <c r="F85" s="83" t="s">
        <v>56</v>
      </c>
      <c r="G85" s="89">
        <v>6</v>
      </c>
    </row>
    <row r="86" spans="1:7" x14ac:dyDescent="0.3">
      <c r="A86" s="390"/>
      <c r="B86" s="379"/>
      <c r="C86" s="377"/>
      <c r="D86" s="377"/>
      <c r="E86" s="378" t="s">
        <v>124</v>
      </c>
      <c r="F86" s="83" t="s">
        <v>48</v>
      </c>
      <c r="G86" s="89">
        <v>6</v>
      </c>
    </row>
    <row r="87" spans="1:7" x14ac:dyDescent="0.3">
      <c r="A87" s="390"/>
      <c r="B87" s="379"/>
      <c r="C87" s="377"/>
      <c r="D87" s="377"/>
      <c r="E87" s="378"/>
      <c r="F87" s="83" t="s">
        <v>49</v>
      </c>
      <c r="G87" s="89">
        <v>6</v>
      </c>
    </row>
    <row r="88" spans="1:7" x14ac:dyDescent="0.3">
      <c r="A88" s="390"/>
      <c r="B88" s="379"/>
      <c r="C88" s="377"/>
      <c r="D88" s="377"/>
      <c r="E88" s="378"/>
      <c r="F88" s="83" t="s">
        <v>50</v>
      </c>
      <c r="G88" s="89">
        <v>6</v>
      </c>
    </row>
    <row r="89" spans="1:7" x14ac:dyDescent="0.3">
      <c r="A89" s="390"/>
      <c r="B89" s="379"/>
      <c r="C89" s="377"/>
      <c r="D89" s="377"/>
      <c r="E89" s="378"/>
      <c r="F89" s="83" t="s">
        <v>51</v>
      </c>
      <c r="G89" s="89">
        <v>6</v>
      </c>
    </row>
    <row r="90" spans="1:7" x14ac:dyDescent="0.3">
      <c r="A90" s="390"/>
      <c r="B90" s="379"/>
      <c r="C90" s="377"/>
      <c r="D90" s="377"/>
      <c r="E90" s="378"/>
      <c r="F90" s="83" t="s">
        <v>52</v>
      </c>
      <c r="G90" s="89">
        <v>6</v>
      </c>
    </row>
    <row r="91" spans="1:7" ht="15" thickBot="1" x14ac:dyDescent="0.35">
      <c r="A91" s="393"/>
      <c r="B91" s="384"/>
      <c r="C91" s="377"/>
      <c r="D91" s="377"/>
      <c r="E91" s="381"/>
      <c r="F91" s="92" t="s">
        <v>53</v>
      </c>
      <c r="G91" s="93">
        <v>6</v>
      </c>
    </row>
    <row r="92" spans="1:7" x14ac:dyDescent="0.3">
      <c r="A92" s="389" t="s">
        <v>25</v>
      </c>
      <c r="B92" s="387" t="s">
        <v>61</v>
      </c>
      <c r="C92" s="387" t="s">
        <v>131</v>
      </c>
      <c r="D92" s="387" t="s">
        <v>137</v>
      </c>
      <c r="E92" s="380" t="s">
        <v>132</v>
      </c>
      <c r="F92" s="81" t="s">
        <v>45</v>
      </c>
      <c r="G92" s="94">
        <v>7</v>
      </c>
    </row>
    <row r="93" spans="1:7" x14ac:dyDescent="0.3">
      <c r="A93" s="390"/>
      <c r="B93" s="379"/>
      <c r="C93" s="379"/>
      <c r="D93" s="379"/>
      <c r="E93" s="378"/>
      <c r="F93" s="83" t="s">
        <v>44</v>
      </c>
      <c r="G93" s="89">
        <v>7</v>
      </c>
    </row>
    <row r="94" spans="1:7" x14ac:dyDescent="0.3">
      <c r="A94" s="390"/>
      <c r="B94" s="379"/>
      <c r="C94" s="379"/>
      <c r="D94" s="379"/>
      <c r="E94" s="378"/>
      <c r="F94" s="83" t="s">
        <v>125</v>
      </c>
      <c r="G94" s="89">
        <v>7</v>
      </c>
    </row>
    <row r="95" spans="1:7" x14ac:dyDescent="0.3">
      <c r="A95" s="390"/>
      <c r="B95" s="379"/>
      <c r="C95" s="379"/>
      <c r="D95" s="379" t="s">
        <v>138</v>
      </c>
      <c r="E95" s="378" t="s">
        <v>136</v>
      </c>
      <c r="F95" s="83" t="s">
        <v>46</v>
      </c>
      <c r="G95" s="89">
        <v>7</v>
      </c>
    </row>
    <row r="96" spans="1:7" x14ac:dyDescent="0.3">
      <c r="A96" s="390"/>
      <c r="B96" s="379"/>
      <c r="C96" s="379"/>
      <c r="D96" s="379"/>
      <c r="E96" s="378"/>
      <c r="F96" s="83" t="s">
        <v>47</v>
      </c>
      <c r="G96" s="89">
        <v>7</v>
      </c>
    </row>
    <row r="97" spans="1:7" x14ac:dyDescent="0.3">
      <c r="A97" s="390"/>
      <c r="B97" s="379"/>
      <c r="C97" s="379"/>
      <c r="D97" s="379"/>
      <c r="E97" s="378" t="s">
        <v>124</v>
      </c>
      <c r="F97" s="83" t="s">
        <v>48</v>
      </c>
      <c r="G97" s="89">
        <v>7</v>
      </c>
    </row>
    <row r="98" spans="1:7" x14ac:dyDescent="0.3">
      <c r="A98" s="390"/>
      <c r="B98" s="379"/>
      <c r="C98" s="379"/>
      <c r="D98" s="379"/>
      <c r="E98" s="378"/>
      <c r="F98" s="83" t="s">
        <v>49</v>
      </c>
      <c r="G98" s="89">
        <v>7</v>
      </c>
    </row>
    <row r="99" spans="1:7" x14ac:dyDescent="0.3">
      <c r="A99" s="390"/>
      <c r="B99" s="379"/>
      <c r="C99" s="379"/>
      <c r="D99" s="379"/>
      <c r="E99" s="378"/>
      <c r="F99" s="83" t="s">
        <v>50</v>
      </c>
      <c r="G99" s="89">
        <v>7</v>
      </c>
    </row>
    <row r="100" spans="1:7" x14ac:dyDescent="0.3">
      <c r="A100" s="390"/>
      <c r="B100" s="379"/>
      <c r="C100" s="379"/>
      <c r="D100" s="379"/>
      <c r="E100" s="378"/>
      <c r="F100" s="83" t="s">
        <v>51</v>
      </c>
      <c r="G100" s="89">
        <v>7</v>
      </c>
    </row>
    <row r="101" spans="1:7" x14ac:dyDescent="0.3">
      <c r="A101" s="390"/>
      <c r="B101" s="379"/>
      <c r="C101" s="379"/>
      <c r="D101" s="379"/>
      <c r="E101" s="378"/>
      <c r="F101" s="83" t="s">
        <v>52</v>
      </c>
      <c r="G101" s="89">
        <v>7</v>
      </c>
    </row>
    <row r="102" spans="1:7" x14ac:dyDescent="0.3">
      <c r="A102" s="390"/>
      <c r="B102" s="379"/>
      <c r="C102" s="379"/>
      <c r="D102" s="379"/>
      <c r="E102" s="378"/>
      <c r="F102" s="83" t="s">
        <v>53</v>
      </c>
      <c r="G102" s="89">
        <v>7</v>
      </c>
    </row>
    <row r="103" spans="1:7" x14ac:dyDescent="0.3">
      <c r="A103" s="390"/>
      <c r="B103" s="379"/>
      <c r="C103" s="379" t="s">
        <v>135</v>
      </c>
      <c r="D103" s="384" t="s">
        <v>137</v>
      </c>
      <c r="E103" s="378" t="s">
        <v>126</v>
      </c>
      <c r="F103" s="83" t="s">
        <v>127</v>
      </c>
      <c r="G103" s="89">
        <v>7</v>
      </c>
    </row>
    <row r="104" spans="1:7" x14ac:dyDescent="0.3">
      <c r="A104" s="390"/>
      <c r="B104" s="379"/>
      <c r="C104" s="379"/>
      <c r="D104" s="383"/>
      <c r="E104" s="378"/>
      <c r="F104" s="83" t="s">
        <v>128</v>
      </c>
      <c r="G104" s="89">
        <v>7</v>
      </c>
    </row>
    <row r="105" spans="1:7" x14ac:dyDescent="0.3">
      <c r="A105" s="390"/>
      <c r="B105" s="379"/>
      <c r="C105" s="379"/>
      <c r="D105" s="384" t="s">
        <v>138</v>
      </c>
      <c r="E105" s="378" t="s">
        <v>123</v>
      </c>
      <c r="F105" s="83" t="s">
        <v>55</v>
      </c>
      <c r="G105" s="89">
        <v>7</v>
      </c>
    </row>
    <row r="106" spans="1:7" x14ac:dyDescent="0.3">
      <c r="A106" s="390"/>
      <c r="B106" s="379"/>
      <c r="C106" s="379"/>
      <c r="D106" s="377"/>
      <c r="E106" s="378"/>
      <c r="F106" s="83" t="s">
        <v>56</v>
      </c>
      <c r="G106" s="89">
        <v>7</v>
      </c>
    </row>
    <row r="107" spans="1:7" x14ac:dyDescent="0.3">
      <c r="A107" s="390"/>
      <c r="B107" s="379"/>
      <c r="C107" s="379"/>
      <c r="D107" s="377"/>
      <c r="E107" s="378" t="s">
        <v>124</v>
      </c>
      <c r="F107" s="83" t="s">
        <v>48</v>
      </c>
      <c r="G107" s="89">
        <v>7</v>
      </c>
    </row>
    <row r="108" spans="1:7" x14ac:dyDescent="0.3">
      <c r="A108" s="390"/>
      <c r="B108" s="379"/>
      <c r="C108" s="379"/>
      <c r="D108" s="377"/>
      <c r="E108" s="378"/>
      <c r="F108" s="83" t="s">
        <v>49</v>
      </c>
      <c r="G108" s="89">
        <v>7</v>
      </c>
    </row>
    <row r="109" spans="1:7" x14ac:dyDescent="0.3">
      <c r="A109" s="390"/>
      <c r="B109" s="379"/>
      <c r="C109" s="379"/>
      <c r="D109" s="377"/>
      <c r="E109" s="378"/>
      <c r="F109" s="83" t="s">
        <v>50</v>
      </c>
      <c r="G109" s="89">
        <v>7</v>
      </c>
    </row>
    <row r="110" spans="1:7" x14ac:dyDescent="0.3">
      <c r="A110" s="390"/>
      <c r="B110" s="379"/>
      <c r="C110" s="379"/>
      <c r="D110" s="377"/>
      <c r="E110" s="378"/>
      <c r="F110" s="83" t="s">
        <v>51</v>
      </c>
      <c r="G110" s="89">
        <v>7</v>
      </c>
    </row>
    <row r="111" spans="1:7" x14ac:dyDescent="0.3">
      <c r="A111" s="390"/>
      <c r="B111" s="379"/>
      <c r="C111" s="379"/>
      <c r="D111" s="377"/>
      <c r="E111" s="378"/>
      <c r="F111" s="83" t="s">
        <v>52</v>
      </c>
      <c r="G111" s="89">
        <v>7</v>
      </c>
    </row>
    <row r="112" spans="1:7" ht="15" thickBot="1" x14ac:dyDescent="0.35">
      <c r="A112" s="391"/>
      <c r="B112" s="386"/>
      <c r="C112" s="386"/>
      <c r="D112" s="385"/>
      <c r="E112" s="388"/>
      <c r="F112" s="85" t="s">
        <v>53</v>
      </c>
      <c r="G112" s="95">
        <v>7</v>
      </c>
    </row>
  </sheetData>
  <sheetProtection algorithmName="SHA-512" hashValue="3oTBW0NMZRsODcluuzxNfDTzcwjQZu1Ft27l6GbS1niDHOAeu2L49LcDjWaevfjIuFXf2GPzoJGpG+C3tZUP/A==" saltValue="xVUybrGBoRf87cAJv7t7yQ==" spinCount="100000" sheet="1" objects="1" scenarios="1"/>
  <mergeCells count="85">
    <mergeCell ref="A1:G1"/>
    <mergeCell ref="A16:G16"/>
    <mergeCell ref="D2:D3"/>
    <mergeCell ref="C4:C9"/>
    <mergeCell ref="C10:C15"/>
    <mergeCell ref="D10:D15"/>
    <mergeCell ref="D4:D9"/>
    <mergeCell ref="A4:A9"/>
    <mergeCell ref="A10:A15"/>
    <mergeCell ref="A2:A3"/>
    <mergeCell ref="B2:B3"/>
    <mergeCell ref="C2:C3"/>
    <mergeCell ref="B4:B9"/>
    <mergeCell ref="B10:B15"/>
    <mergeCell ref="F17:F18"/>
    <mergeCell ref="G17:G18"/>
    <mergeCell ref="F2:F3"/>
    <mergeCell ref="G2:G3"/>
    <mergeCell ref="E2:E3"/>
    <mergeCell ref="E10:E15"/>
    <mergeCell ref="E4:E9"/>
    <mergeCell ref="E17:E18"/>
    <mergeCell ref="A17:A18"/>
    <mergeCell ref="B17:B18"/>
    <mergeCell ref="C17:C18"/>
    <mergeCell ref="D17:D18"/>
    <mergeCell ref="D71:D73"/>
    <mergeCell ref="A50:A70"/>
    <mergeCell ref="B50:B70"/>
    <mergeCell ref="C61:C70"/>
    <mergeCell ref="C50:C60"/>
    <mergeCell ref="D29:D31"/>
    <mergeCell ref="D32:D39"/>
    <mergeCell ref="D40:D41"/>
    <mergeCell ref="D42:D43"/>
    <mergeCell ref="D44:D49"/>
    <mergeCell ref="C40:C49"/>
    <mergeCell ref="C19:C39"/>
    <mergeCell ref="B92:B112"/>
    <mergeCell ref="A92:A112"/>
    <mergeCell ref="B19:B49"/>
    <mergeCell ref="A19:A49"/>
    <mergeCell ref="E82:E83"/>
    <mergeCell ref="E84:E85"/>
    <mergeCell ref="E71:E73"/>
    <mergeCell ref="B71:B91"/>
    <mergeCell ref="A71:A91"/>
    <mergeCell ref="E19:E24"/>
    <mergeCell ref="E25:E28"/>
    <mergeCell ref="E29:E31"/>
    <mergeCell ref="E32:E33"/>
    <mergeCell ref="E50:E52"/>
    <mergeCell ref="E53:E54"/>
    <mergeCell ref="E65:E70"/>
    <mergeCell ref="E107:E112"/>
    <mergeCell ref="E55:E60"/>
    <mergeCell ref="E63:E64"/>
    <mergeCell ref="E86:E91"/>
    <mergeCell ref="E74:E75"/>
    <mergeCell ref="E76:E81"/>
    <mergeCell ref="E103:E104"/>
    <mergeCell ref="E105:E106"/>
    <mergeCell ref="C103:C112"/>
    <mergeCell ref="D103:D104"/>
    <mergeCell ref="D105:D112"/>
    <mergeCell ref="D74:D81"/>
    <mergeCell ref="D82:D83"/>
    <mergeCell ref="D84:D91"/>
    <mergeCell ref="D92:D94"/>
    <mergeCell ref="C71:C81"/>
    <mergeCell ref="C82:C91"/>
    <mergeCell ref="C92:C102"/>
    <mergeCell ref="D19:D28"/>
    <mergeCell ref="E95:E96"/>
    <mergeCell ref="D95:D102"/>
    <mergeCell ref="E92:E94"/>
    <mergeCell ref="E34:E39"/>
    <mergeCell ref="E44:E49"/>
    <mergeCell ref="D50:D52"/>
    <mergeCell ref="D53:D60"/>
    <mergeCell ref="D61:D62"/>
    <mergeCell ref="D63:D64"/>
    <mergeCell ref="D65:D70"/>
    <mergeCell ref="E42:E43"/>
    <mergeCell ref="E97:E102"/>
  </mergeCells>
  <pageMargins left="0.98" right="0.27" top="0.32" bottom="0.25" header="0.3" footer="0.3"/>
  <pageSetup paperSize="3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81"/>
  <sheetViews>
    <sheetView showGridLines="0" zoomScale="80" zoomScaleNormal="80" workbookViewId="0">
      <selection sqref="A1:AA1"/>
    </sheetView>
  </sheetViews>
  <sheetFormatPr baseColWidth="10" defaultRowHeight="14.4" x14ac:dyDescent="0.3"/>
  <cols>
    <col min="1" max="1" width="8.109375" customWidth="1"/>
    <col min="2" max="2" width="2.6640625" customWidth="1"/>
    <col min="3" max="3" width="3.77734375" customWidth="1"/>
    <col min="4" max="4" width="8.77734375" customWidth="1"/>
    <col min="5" max="5" width="3.77734375" customWidth="1"/>
    <col min="6" max="6" width="8.77734375" customWidth="1"/>
    <col min="7" max="7" width="3.77734375" customWidth="1"/>
    <col min="8" max="8" width="8.77734375" customWidth="1"/>
    <col min="9" max="9" width="3.77734375" customWidth="1"/>
    <col min="10" max="10" width="2.5546875" style="96" customWidth="1"/>
    <col min="11" max="11" width="1.6640625" customWidth="1"/>
    <col min="12" max="12" width="2.77734375" customWidth="1"/>
    <col min="13" max="13" width="3.44140625" customWidth="1"/>
    <col min="14" max="14" width="3.21875" customWidth="1"/>
    <col min="15" max="15" width="6.109375" customWidth="1"/>
    <col min="16" max="16" width="2.6640625" customWidth="1"/>
    <col min="17" max="17" width="4.109375" customWidth="1"/>
    <col min="18" max="18" width="6.6640625" customWidth="1"/>
    <col min="19" max="19" width="4.33203125" customWidth="1"/>
    <col min="20" max="20" width="8.5546875" style="10" customWidth="1"/>
    <col min="21" max="21" width="14" customWidth="1"/>
    <col min="22" max="22" width="1.6640625" customWidth="1"/>
    <col min="23" max="23" width="2.6640625" customWidth="1"/>
    <col min="24" max="24" width="3.77734375" customWidth="1"/>
    <col min="25" max="25" width="8.77734375" customWidth="1"/>
    <col min="26" max="26" width="3.77734375" customWidth="1"/>
    <col min="27" max="27" width="8.77734375" customWidth="1"/>
    <col min="28" max="28" width="3.77734375" customWidth="1"/>
    <col min="29" max="29" width="8.77734375" customWidth="1"/>
    <col min="30" max="30" width="3.77734375" customWidth="1"/>
    <col min="31" max="31" width="2.33203125" customWidth="1"/>
    <col min="32" max="32" width="3.77734375" customWidth="1"/>
    <col min="33" max="33" width="2.77734375" customWidth="1"/>
    <col min="34" max="34" width="3.44140625" customWidth="1"/>
    <col min="35" max="35" width="3.21875" customWidth="1"/>
    <col min="36" max="36" width="6.109375" customWidth="1"/>
    <col min="37" max="37" width="2.6640625" customWidth="1"/>
    <col min="38" max="38" width="1.77734375" customWidth="1"/>
    <col min="39" max="39" width="6.21875" customWidth="1"/>
    <col min="40" max="40" width="4.33203125" customWidth="1"/>
    <col min="41" max="41" width="8.5546875" customWidth="1"/>
    <col min="42" max="42" width="7.88671875" customWidth="1"/>
    <col min="43" max="43" width="2.5546875" customWidth="1"/>
    <col min="44" max="44" width="4.33203125" customWidth="1"/>
    <col min="45" max="45" width="8.5546875" customWidth="1"/>
    <col min="46" max="46" width="2.6640625" customWidth="1"/>
    <col min="47" max="47" width="3.77734375" customWidth="1"/>
    <col min="48" max="48" width="8.77734375" customWidth="1"/>
    <col min="49" max="49" width="3.77734375" customWidth="1"/>
  </cols>
  <sheetData>
    <row r="1" spans="1:49" ht="21" x14ac:dyDescent="0.4">
      <c r="A1" s="418" t="s">
        <v>259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</row>
    <row r="2" spans="1:49" ht="10.8" customHeight="1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49" ht="18.600000000000001" thickBot="1" x14ac:dyDescent="0.4">
      <c r="A3" s="120" t="s">
        <v>258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49" ht="18" x14ac:dyDescent="0.35">
      <c r="A4" s="419" t="s">
        <v>236</v>
      </c>
      <c r="B4" s="420"/>
      <c r="C4" s="131" t="s">
        <v>231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6"/>
      <c r="AC4" s="136"/>
      <c r="AD4" s="136"/>
      <c r="AE4" s="136"/>
      <c r="AF4" s="136"/>
      <c r="AG4" s="137"/>
    </row>
    <row r="5" spans="1:49" ht="18" x14ac:dyDescent="0.35">
      <c r="A5" s="421"/>
      <c r="B5" s="422"/>
      <c r="C5" s="123" t="s">
        <v>232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1"/>
      <c r="W5" s="121"/>
      <c r="X5" s="121"/>
      <c r="Y5" s="121"/>
      <c r="Z5" s="121"/>
      <c r="AA5" s="121"/>
      <c r="AB5" s="96"/>
      <c r="AC5" s="96"/>
      <c r="AD5" s="96"/>
      <c r="AE5" s="96"/>
      <c r="AF5" s="96"/>
      <c r="AG5" s="138"/>
    </row>
    <row r="6" spans="1:49" ht="18" x14ac:dyDescent="0.35">
      <c r="A6" s="421"/>
      <c r="B6" s="422"/>
      <c r="C6" s="123" t="s">
        <v>260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1"/>
      <c r="W6" s="121"/>
      <c r="X6" s="121"/>
      <c r="Y6" s="121"/>
      <c r="Z6" s="121"/>
      <c r="AA6" s="121"/>
      <c r="AB6" s="96"/>
      <c r="AC6" s="96"/>
      <c r="AD6" s="96"/>
      <c r="AE6" s="96"/>
      <c r="AF6" s="96"/>
      <c r="AG6" s="138"/>
    </row>
    <row r="7" spans="1:49" ht="18" x14ac:dyDescent="0.35">
      <c r="A7" s="133"/>
      <c r="B7" s="121"/>
      <c r="C7" s="122" t="s">
        <v>237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96"/>
      <c r="AC7" s="96"/>
      <c r="AD7" s="96"/>
      <c r="AE7" s="96"/>
      <c r="AF7" s="96"/>
      <c r="AG7" s="138"/>
    </row>
    <row r="8" spans="1:49" ht="18.600000000000001" thickBot="1" x14ac:dyDescent="0.4">
      <c r="A8" s="423" t="s">
        <v>233</v>
      </c>
      <c r="B8" s="424"/>
      <c r="C8" s="134" t="s">
        <v>261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9"/>
      <c r="AC8" s="139"/>
      <c r="AD8" s="139"/>
      <c r="AE8" s="139"/>
      <c r="AF8" s="139"/>
      <c r="AG8" s="140"/>
    </row>
    <row r="9" spans="1:49" ht="18" x14ac:dyDescent="0.3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49" ht="19.8" x14ac:dyDescent="0.35">
      <c r="A10" s="126" t="s">
        <v>253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T10"/>
      <c r="V10" s="126" t="s">
        <v>254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49" ht="18.600000000000001" thickBot="1" x14ac:dyDescent="0.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R11" s="10"/>
      <c r="AS11" s="10"/>
      <c r="AT11" s="10"/>
      <c r="AU11" s="10"/>
      <c r="AV11" s="10"/>
      <c r="AW11" s="10"/>
    </row>
    <row r="12" spans="1:49" ht="18.600000000000001" thickBot="1" x14ac:dyDescent="0.4">
      <c r="A12" s="120"/>
      <c r="B12" s="425"/>
      <c r="C12" s="426"/>
      <c r="D12" s="426"/>
      <c r="E12" s="426"/>
      <c r="F12" s="426"/>
      <c r="G12" s="426"/>
      <c r="H12" s="426"/>
      <c r="I12" s="426"/>
      <c r="J12" s="427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W12" s="425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7"/>
      <c r="AL12" s="120"/>
      <c r="AM12" s="120"/>
      <c r="AN12" s="120"/>
      <c r="AO12" s="120"/>
      <c r="AP12" s="120"/>
      <c r="AQ12" s="120"/>
      <c r="AR12" s="10"/>
      <c r="AS12" s="10"/>
      <c r="AT12" s="10"/>
      <c r="AU12" s="10"/>
      <c r="AV12" s="10"/>
      <c r="AW12" s="10"/>
    </row>
    <row r="13" spans="1:49" ht="18" x14ac:dyDescent="0.35">
      <c r="A13" s="120"/>
      <c r="B13" s="97"/>
      <c r="C13" s="101"/>
      <c r="D13" s="98"/>
      <c r="E13" s="100"/>
      <c r="F13" s="98"/>
      <c r="G13" s="100"/>
      <c r="H13" s="98"/>
      <c r="I13" s="102"/>
      <c r="J13" s="99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W13" s="97"/>
      <c r="X13" s="101"/>
      <c r="Y13" s="100"/>
      <c r="Z13" s="98"/>
      <c r="AA13" s="98"/>
      <c r="AB13" s="100"/>
      <c r="AC13" s="100"/>
      <c r="AD13" s="98"/>
      <c r="AE13" s="98"/>
      <c r="AF13" s="98"/>
      <c r="AG13" s="98"/>
      <c r="AH13" s="100"/>
      <c r="AI13" s="100"/>
      <c r="AJ13" s="102"/>
      <c r="AK13" s="99"/>
      <c r="AL13" s="120"/>
      <c r="AM13" s="120"/>
      <c r="AN13" s="120"/>
      <c r="AO13" s="120"/>
      <c r="AP13" s="120"/>
      <c r="AQ13" s="120"/>
      <c r="AR13" s="10"/>
      <c r="AS13" s="410"/>
      <c r="AT13" s="410"/>
      <c r="AU13" s="410"/>
      <c r="AV13" s="410"/>
      <c r="AW13" s="410"/>
    </row>
    <row r="14" spans="1:49" ht="18" x14ac:dyDescent="0.35">
      <c r="A14" s="120"/>
      <c r="B14" s="97"/>
      <c r="C14" s="105"/>
      <c r="D14" s="103"/>
      <c r="E14" s="104"/>
      <c r="F14" s="103"/>
      <c r="G14" s="104"/>
      <c r="H14" s="103"/>
      <c r="I14" s="106"/>
      <c r="J14" s="99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W14" s="97"/>
      <c r="X14" s="105"/>
      <c r="Y14" s="104"/>
      <c r="Z14" s="103"/>
      <c r="AA14" s="103"/>
      <c r="AB14" s="104"/>
      <c r="AC14" s="104"/>
      <c r="AD14" s="103"/>
      <c r="AE14" s="103"/>
      <c r="AF14" s="103"/>
      <c r="AG14" s="103"/>
      <c r="AH14" s="104"/>
      <c r="AI14" s="104"/>
      <c r="AJ14" s="106"/>
      <c r="AK14" s="99"/>
      <c r="AL14" s="120"/>
      <c r="AM14" s="120"/>
      <c r="AN14" s="120"/>
      <c r="AO14" s="120"/>
      <c r="AP14" s="120"/>
      <c r="AQ14" s="120"/>
      <c r="AR14" s="10"/>
      <c r="AS14" s="410"/>
      <c r="AT14" s="410"/>
      <c r="AU14" s="410"/>
      <c r="AV14" s="410"/>
      <c r="AW14" s="410"/>
    </row>
    <row r="15" spans="1:49" ht="18" customHeight="1" thickBot="1" x14ac:dyDescent="0.4">
      <c r="A15" s="120"/>
      <c r="B15" s="97"/>
      <c r="C15" s="105"/>
      <c r="D15" s="103"/>
      <c r="E15" s="104"/>
      <c r="F15" s="103"/>
      <c r="G15" s="104"/>
      <c r="H15" s="103"/>
      <c r="I15" s="106"/>
      <c r="J15" s="99"/>
      <c r="K15" s="120"/>
      <c r="L15" s="120"/>
      <c r="M15" s="120"/>
      <c r="N15" s="411"/>
      <c r="O15" s="412"/>
      <c r="P15" s="412"/>
      <c r="Q15" s="412"/>
      <c r="R15" s="129"/>
      <c r="S15" s="129"/>
      <c r="T15" s="129"/>
      <c r="U15" s="120"/>
      <c r="W15" s="97"/>
      <c r="X15" s="105"/>
      <c r="Y15" s="104"/>
      <c r="Z15" s="103"/>
      <c r="AA15" s="103"/>
      <c r="AB15" s="104"/>
      <c r="AC15" s="104"/>
      <c r="AD15" s="103"/>
      <c r="AE15" s="103"/>
      <c r="AF15" s="103"/>
      <c r="AG15" s="103"/>
      <c r="AH15" s="104"/>
      <c r="AI15" s="104"/>
      <c r="AJ15" s="106"/>
      <c r="AK15" s="99"/>
      <c r="AL15" s="120"/>
      <c r="AM15" s="10"/>
      <c r="AN15" s="411"/>
      <c r="AO15" s="412"/>
      <c r="AP15" s="412"/>
      <c r="AQ15" s="412"/>
      <c r="AR15" s="10"/>
      <c r="AS15" s="10"/>
      <c r="AT15" s="10"/>
      <c r="AU15" s="10"/>
      <c r="AV15" s="10"/>
      <c r="AW15" s="10"/>
    </row>
    <row r="16" spans="1:49" ht="28.05" customHeight="1" thickBot="1" x14ac:dyDescent="0.4">
      <c r="A16" s="120"/>
      <c r="B16" s="97"/>
      <c r="C16" s="105"/>
      <c r="D16" s="103"/>
      <c r="E16" s="104"/>
      <c r="F16" s="103"/>
      <c r="G16" s="104"/>
      <c r="H16" s="103"/>
      <c r="I16" s="106"/>
      <c r="J16" s="99"/>
      <c r="K16" s="120"/>
      <c r="L16" s="428"/>
      <c r="M16" s="429"/>
      <c r="N16" s="127" t="s">
        <v>241</v>
      </c>
      <c r="T16"/>
      <c r="U16" s="120"/>
      <c r="W16" s="97"/>
      <c r="X16" s="105"/>
      <c r="Y16" s="104"/>
      <c r="Z16" s="103"/>
      <c r="AA16" s="103"/>
      <c r="AB16" s="104"/>
      <c r="AC16" s="104"/>
      <c r="AD16" s="103"/>
      <c r="AE16" s="103"/>
      <c r="AF16" s="103"/>
      <c r="AG16" s="103"/>
      <c r="AH16" s="104"/>
      <c r="AI16" s="104"/>
      <c r="AJ16" s="106"/>
      <c r="AK16" s="99"/>
      <c r="AL16" s="120"/>
      <c r="AM16" s="115"/>
      <c r="AN16" s="127" t="s">
        <v>241</v>
      </c>
      <c r="AU16" s="10"/>
    </row>
    <row r="17" spans="1:47" ht="28.05" customHeight="1" thickBot="1" x14ac:dyDescent="0.35">
      <c r="B17" s="97"/>
      <c r="C17" s="105"/>
      <c r="D17" s="103"/>
      <c r="E17" s="104"/>
      <c r="F17" s="103"/>
      <c r="G17" s="104"/>
      <c r="H17" s="103"/>
      <c r="I17" s="106"/>
      <c r="J17" s="99"/>
      <c r="L17" s="430"/>
      <c r="M17" s="431"/>
      <c r="N17" s="127" t="s">
        <v>244</v>
      </c>
      <c r="T17"/>
      <c r="W17" s="97"/>
      <c r="X17" s="105"/>
      <c r="Y17" s="104"/>
      <c r="Z17" s="103"/>
      <c r="AA17" s="103"/>
      <c r="AB17" s="104"/>
      <c r="AC17" s="104"/>
      <c r="AD17" s="103"/>
      <c r="AE17" s="103"/>
      <c r="AF17" s="103"/>
      <c r="AG17" s="103"/>
      <c r="AH17" s="104"/>
      <c r="AI17" s="104"/>
      <c r="AJ17" s="106"/>
      <c r="AK17" s="99"/>
      <c r="AM17" s="116"/>
      <c r="AN17" s="127" t="s">
        <v>242</v>
      </c>
      <c r="AU17" s="10"/>
    </row>
    <row r="18" spans="1:47" ht="28.05" customHeight="1" thickBot="1" x14ac:dyDescent="0.35">
      <c r="B18" s="97"/>
      <c r="C18" s="105"/>
      <c r="D18" s="103"/>
      <c r="E18" s="104"/>
      <c r="F18" s="103"/>
      <c r="G18" s="104"/>
      <c r="H18" s="103"/>
      <c r="I18" s="106"/>
      <c r="J18" s="99"/>
      <c r="L18" s="432"/>
      <c r="M18" s="433"/>
      <c r="N18" s="127" t="s">
        <v>243</v>
      </c>
      <c r="T18"/>
      <c r="W18" s="97"/>
      <c r="X18" s="105"/>
      <c r="Y18" s="104"/>
      <c r="Z18" s="103"/>
      <c r="AA18" s="103"/>
      <c r="AB18" s="104"/>
      <c r="AC18" s="104"/>
      <c r="AD18" s="103"/>
      <c r="AE18" s="103"/>
      <c r="AF18" s="103"/>
      <c r="AG18" s="103"/>
      <c r="AH18" s="104"/>
      <c r="AI18" s="104"/>
      <c r="AJ18" s="106"/>
      <c r="AK18" s="99"/>
      <c r="AM18" s="117"/>
      <c r="AN18" s="127" t="s">
        <v>243</v>
      </c>
      <c r="AU18" s="10"/>
    </row>
    <row r="19" spans="1:47" x14ac:dyDescent="0.3">
      <c r="B19" s="97"/>
      <c r="C19" s="105"/>
      <c r="D19" s="103" t="s">
        <v>250</v>
      </c>
      <c r="E19" s="104"/>
      <c r="F19" s="103" t="s">
        <v>250</v>
      </c>
      <c r="G19" s="104"/>
      <c r="H19" s="103" t="s">
        <v>250</v>
      </c>
      <c r="I19" s="106"/>
      <c r="J19" s="99"/>
      <c r="T19"/>
      <c r="W19" s="97"/>
      <c r="X19" s="105"/>
      <c r="Y19" s="104"/>
      <c r="Z19" s="103" t="s">
        <v>148</v>
      </c>
      <c r="AA19" s="130" t="s">
        <v>148</v>
      </c>
      <c r="AB19" s="104"/>
      <c r="AC19" s="104"/>
      <c r="AD19" s="103" t="s">
        <v>148</v>
      </c>
      <c r="AE19" s="130"/>
      <c r="AF19" s="417" t="s">
        <v>148</v>
      </c>
      <c r="AG19" s="417"/>
      <c r="AH19" s="104"/>
      <c r="AI19" s="104"/>
      <c r="AJ19" s="106"/>
      <c r="AK19" s="99"/>
      <c r="AU19" s="10"/>
    </row>
    <row r="20" spans="1:47" x14ac:dyDescent="0.3">
      <c r="B20" s="97"/>
      <c r="C20" s="105"/>
      <c r="D20" s="103"/>
      <c r="E20" s="104"/>
      <c r="F20" s="103"/>
      <c r="G20" s="104"/>
      <c r="H20" s="103"/>
      <c r="I20" s="106"/>
      <c r="J20" s="99"/>
      <c r="T20"/>
      <c r="W20" s="97"/>
      <c r="X20" s="105"/>
      <c r="Y20" s="104"/>
      <c r="Z20" s="103"/>
      <c r="AA20" s="103"/>
      <c r="AB20" s="104"/>
      <c r="AC20" s="104"/>
      <c r="AD20" s="103"/>
      <c r="AE20" s="103"/>
      <c r="AF20" s="103"/>
      <c r="AG20" s="103"/>
      <c r="AH20" s="104"/>
      <c r="AI20" s="104"/>
      <c r="AJ20" s="106"/>
      <c r="AK20" s="99"/>
      <c r="AU20" s="10"/>
    </row>
    <row r="21" spans="1:47" x14ac:dyDescent="0.3">
      <c r="B21" s="97"/>
      <c r="C21" s="105"/>
      <c r="D21" s="103"/>
      <c r="E21" s="104"/>
      <c r="F21" s="103"/>
      <c r="G21" s="104"/>
      <c r="H21" s="103"/>
      <c r="I21" s="106"/>
      <c r="J21" s="99"/>
      <c r="T21"/>
      <c r="W21" s="97"/>
      <c r="X21" s="105"/>
      <c r="Y21" s="104"/>
      <c r="Z21" s="103"/>
      <c r="AA21" s="103"/>
      <c r="AB21" s="104"/>
      <c r="AC21" s="104"/>
      <c r="AD21" s="103"/>
      <c r="AE21" s="103"/>
      <c r="AF21" s="103"/>
      <c r="AG21" s="103"/>
      <c r="AH21" s="104"/>
      <c r="AI21" s="104"/>
      <c r="AJ21" s="106"/>
      <c r="AK21" s="99"/>
      <c r="AU21" s="10"/>
    </row>
    <row r="22" spans="1:47" x14ac:dyDescent="0.3">
      <c r="B22" s="97"/>
      <c r="C22" s="105"/>
      <c r="D22" s="103"/>
      <c r="E22" s="104"/>
      <c r="F22" s="103"/>
      <c r="G22" s="104"/>
      <c r="H22" s="103"/>
      <c r="I22" s="106"/>
      <c r="J22" s="99"/>
      <c r="L22" s="128" t="s">
        <v>246</v>
      </c>
      <c r="N22" s="128"/>
      <c r="O22" s="128"/>
      <c r="P22" s="128"/>
      <c r="Q22" s="128"/>
      <c r="R22" s="128"/>
      <c r="S22" s="128"/>
      <c r="T22" s="128"/>
      <c r="W22" s="97"/>
      <c r="X22" s="105"/>
      <c r="Y22" s="104"/>
      <c r="Z22" s="103"/>
      <c r="AA22" s="103"/>
      <c r="AB22" s="104"/>
      <c r="AC22" s="104"/>
      <c r="AD22" s="103"/>
      <c r="AE22" s="103"/>
      <c r="AF22" s="103"/>
      <c r="AG22" s="103"/>
      <c r="AH22" s="104"/>
      <c r="AI22" s="104"/>
      <c r="AJ22" s="106"/>
      <c r="AK22" s="99"/>
      <c r="AM22" s="128" t="s">
        <v>246</v>
      </c>
      <c r="AN22" s="128"/>
      <c r="AO22" s="128"/>
      <c r="AP22" s="128"/>
      <c r="AQ22" s="128"/>
      <c r="AU22" s="10"/>
    </row>
    <row r="23" spans="1:47" x14ac:dyDescent="0.3">
      <c r="B23" s="97"/>
      <c r="C23" s="105"/>
      <c r="D23" s="103"/>
      <c r="E23" s="104"/>
      <c r="F23" s="103"/>
      <c r="G23" s="104"/>
      <c r="H23" s="103"/>
      <c r="I23" s="106"/>
      <c r="J23" s="99"/>
      <c r="L23" s="128" t="s">
        <v>247</v>
      </c>
      <c r="N23" s="128"/>
      <c r="O23" s="128"/>
      <c r="P23" s="128"/>
      <c r="Q23" s="128"/>
      <c r="R23" s="128"/>
      <c r="S23" s="128"/>
      <c r="T23" s="128"/>
      <c r="W23" s="97"/>
      <c r="X23" s="105"/>
      <c r="Y23" s="104"/>
      <c r="Z23" s="103"/>
      <c r="AA23" s="103"/>
      <c r="AB23" s="104"/>
      <c r="AC23" s="104"/>
      <c r="AD23" s="103"/>
      <c r="AE23" s="103"/>
      <c r="AF23" s="103"/>
      <c r="AG23" s="103"/>
      <c r="AH23" s="104"/>
      <c r="AI23" s="104"/>
      <c r="AJ23" s="106"/>
      <c r="AK23" s="99"/>
      <c r="AM23" s="128" t="s">
        <v>247</v>
      </c>
      <c r="AN23" s="128"/>
      <c r="AO23" s="128"/>
      <c r="AP23" s="128"/>
      <c r="AQ23" s="128"/>
      <c r="AU23" s="10"/>
    </row>
    <row r="24" spans="1:47" x14ac:dyDescent="0.3">
      <c r="B24" s="97"/>
      <c r="C24" s="105"/>
      <c r="D24" s="103"/>
      <c r="E24" s="104"/>
      <c r="F24" s="103"/>
      <c r="G24" s="104"/>
      <c r="H24" s="103"/>
      <c r="I24" s="106"/>
      <c r="J24" s="99"/>
      <c r="L24" s="128" t="s">
        <v>248</v>
      </c>
      <c r="N24" s="128"/>
      <c r="O24" s="128"/>
      <c r="P24" s="128"/>
      <c r="Q24" s="128"/>
      <c r="R24" s="128"/>
      <c r="S24" s="128"/>
      <c r="T24" s="128"/>
      <c r="W24" s="97"/>
      <c r="X24" s="105"/>
      <c r="Y24" s="104"/>
      <c r="Z24" s="103"/>
      <c r="AA24" s="103"/>
      <c r="AB24" s="104"/>
      <c r="AC24" s="104"/>
      <c r="AD24" s="103"/>
      <c r="AE24" s="103"/>
      <c r="AF24" s="103"/>
      <c r="AG24" s="103"/>
      <c r="AH24" s="104"/>
      <c r="AI24" s="104"/>
      <c r="AJ24" s="106"/>
      <c r="AK24" s="99"/>
      <c r="AM24" s="128" t="s">
        <v>255</v>
      </c>
      <c r="AN24" s="128"/>
      <c r="AO24" s="128"/>
      <c r="AP24" s="128"/>
      <c r="AQ24" s="128"/>
      <c r="AU24" s="10"/>
    </row>
    <row r="25" spans="1:47" x14ac:dyDescent="0.3">
      <c r="B25" s="97"/>
      <c r="C25" s="105"/>
      <c r="D25" s="103"/>
      <c r="E25" s="104"/>
      <c r="F25" s="103"/>
      <c r="G25" s="104"/>
      <c r="H25" s="103"/>
      <c r="I25" s="106"/>
      <c r="J25" s="99"/>
      <c r="L25" s="125" t="s">
        <v>263</v>
      </c>
      <c r="T25"/>
      <c r="W25" s="97"/>
      <c r="X25" s="105"/>
      <c r="Y25" s="104"/>
      <c r="Z25" s="103"/>
      <c r="AA25" s="103"/>
      <c r="AB25" s="104"/>
      <c r="AC25" s="104"/>
      <c r="AD25" s="103"/>
      <c r="AE25" s="103"/>
      <c r="AF25" s="103"/>
      <c r="AG25" s="103"/>
      <c r="AH25" s="104"/>
      <c r="AI25" s="104"/>
      <c r="AJ25" s="106"/>
      <c r="AK25" s="99"/>
      <c r="AM25" s="125" t="s">
        <v>262</v>
      </c>
      <c r="AU25" s="10"/>
    </row>
    <row r="26" spans="1:47" ht="14.4" customHeight="1" x14ac:dyDescent="0.3">
      <c r="B26" s="97"/>
      <c r="C26" s="105"/>
      <c r="D26" s="103"/>
      <c r="E26" s="104"/>
      <c r="F26" s="103"/>
      <c r="G26" s="104"/>
      <c r="H26" s="103"/>
      <c r="I26" s="106"/>
      <c r="J26" s="99"/>
      <c r="L26" s="434" t="s">
        <v>239</v>
      </c>
      <c r="M26" s="435"/>
      <c r="N26" s="435"/>
      <c r="O26" s="435"/>
      <c r="P26" s="435"/>
      <c r="Q26" s="435"/>
      <c r="R26" s="435"/>
      <c r="S26" s="436"/>
      <c r="T26"/>
      <c r="W26" s="97"/>
      <c r="X26" s="105"/>
      <c r="Y26" s="104"/>
      <c r="Z26" s="103"/>
      <c r="AA26" s="103"/>
      <c r="AB26" s="104"/>
      <c r="AC26" s="104"/>
      <c r="AD26" s="103"/>
      <c r="AE26" s="103"/>
      <c r="AF26" s="103"/>
      <c r="AG26" s="103"/>
      <c r="AH26" s="104"/>
      <c r="AI26" s="104"/>
      <c r="AJ26" s="106"/>
      <c r="AK26" s="99"/>
      <c r="AU26" s="10"/>
    </row>
    <row r="27" spans="1:47" x14ac:dyDescent="0.3">
      <c r="B27" s="97"/>
      <c r="C27" s="105"/>
      <c r="D27" s="103"/>
      <c r="E27" s="104"/>
      <c r="F27" s="103"/>
      <c r="G27" s="104"/>
      <c r="H27" s="103"/>
      <c r="I27" s="106"/>
      <c r="J27" s="99"/>
      <c r="L27" s="437"/>
      <c r="M27" s="438"/>
      <c r="N27" s="438"/>
      <c r="O27" s="438"/>
      <c r="P27" s="438"/>
      <c r="Q27" s="438"/>
      <c r="R27" s="438"/>
      <c r="S27" s="439"/>
      <c r="T27"/>
      <c r="W27" s="97"/>
      <c r="X27" s="105"/>
      <c r="Y27" s="104"/>
      <c r="Z27" s="103"/>
      <c r="AA27" s="103"/>
      <c r="AB27" s="104"/>
      <c r="AC27" s="104"/>
      <c r="AD27" s="103"/>
      <c r="AE27" s="103"/>
      <c r="AF27" s="103"/>
      <c r="AG27" s="103"/>
      <c r="AH27" s="104"/>
      <c r="AI27" s="104"/>
      <c r="AJ27" s="106"/>
      <c r="AK27" s="99"/>
      <c r="AU27" s="10"/>
    </row>
    <row r="28" spans="1:47" x14ac:dyDescent="0.3">
      <c r="B28" s="97"/>
      <c r="C28" s="105"/>
      <c r="D28" s="103"/>
      <c r="E28" s="104"/>
      <c r="F28" s="103"/>
      <c r="G28" s="104"/>
      <c r="H28" s="103"/>
      <c r="I28" s="106"/>
      <c r="J28" s="99"/>
      <c r="T28"/>
      <c r="W28" s="97"/>
      <c r="X28" s="105"/>
      <c r="Y28" s="104"/>
      <c r="Z28" s="103"/>
      <c r="AA28" s="103"/>
      <c r="AB28" s="104"/>
      <c r="AC28" s="104"/>
      <c r="AD28" s="103"/>
      <c r="AE28" s="103"/>
      <c r="AF28" s="103"/>
      <c r="AG28" s="103"/>
      <c r="AH28" s="104"/>
      <c r="AI28" s="104"/>
      <c r="AJ28" s="106"/>
      <c r="AK28" s="99"/>
      <c r="AU28" s="10"/>
    </row>
    <row r="29" spans="1:47" ht="15" thickBot="1" x14ac:dyDescent="0.35">
      <c r="B29" s="97"/>
      <c r="C29" s="109"/>
      <c r="D29" s="107"/>
      <c r="E29" s="108"/>
      <c r="F29" s="107"/>
      <c r="G29" s="108"/>
      <c r="H29" s="107"/>
      <c r="I29" s="110"/>
      <c r="J29" s="99"/>
      <c r="T29"/>
      <c r="W29" s="97"/>
      <c r="X29" s="109"/>
      <c r="Y29" s="108"/>
      <c r="Z29" s="107"/>
      <c r="AA29" s="107"/>
      <c r="AB29" s="108"/>
      <c r="AC29" s="108"/>
      <c r="AD29" s="107"/>
      <c r="AE29" s="107"/>
      <c r="AF29" s="107"/>
      <c r="AG29" s="107"/>
      <c r="AH29" s="108"/>
      <c r="AI29" s="108"/>
      <c r="AJ29" s="110"/>
      <c r="AK29" s="99"/>
      <c r="AU29" s="10"/>
    </row>
    <row r="30" spans="1:47" ht="15" thickBot="1" x14ac:dyDescent="0.35">
      <c r="B30" s="111"/>
      <c r="C30" s="112" t="s">
        <v>148</v>
      </c>
      <c r="D30" s="114" t="s">
        <v>249</v>
      </c>
      <c r="E30" s="112" t="s">
        <v>148</v>
      </c>
      <c r="F30" s="114" t="s">
        <v>249</v>
      </c>
      <c r="G30" s="112" t="s">
        <v>148</v>
      </c>
      <c r="H30" s="114" t="s">
        <v>249</v>
      </c>
      <c r="I30" s="112" t="s">
        <v>148</v>
      </c>
      <c r="J30" s="113"/>
      <c r="T30"/>
      <c r="W30" s="111"/>
      <c r="X30" s="416" t="s">
        <v>234</v>
      </c>
      <c r="Y30" s="416"/>
      <c r="Z30" s="416" t="s">
        <v>235</v>
      </c>
      <c r="AA30" s="416"/>
      <c r="AB30" s="416" t="s">
        <v>234</v>
      </c>
      <c r="AC30" s="416"/>
      <c r="AD30" s="415" t="s">
        <v>235</v>
      </c>
      <c r="AE30" s="415"/>
      <c r="AF30" s="415"/>
      <c r="AG30" s="415"/>
      <c r="AH30" s="415" t="s">
        <v>234</v>
      </c>
      <c r="AI30" s="415"/>
      <c r="AJ30" s="415"/>
      <c r="AK30" s="113"/>
      <c r="AU30" s="10"/>
    </row>
    <row r="31" spans="1:47" x14ac:dyDescent="0.3">
      <c r="S31" s="143"/>
      <c r="T31"/>
    </row>
    <row r="32" spans="1:47" ht="18" x14ac:dyDescent="0.35">
      <c r="A32" s="126"/>
      <c r="H32" s="120"/>
      <c r="I32" s="120"/>
      <c r="J32" s="120"/>
      <c r="K32" s="120"/>
      <c r="L32" s="120"/>
      <c r="M32" s="120"/>
      <c r="N32" s="120"/>
      <c r="O32" s="120"/>
      <c r="P32" s="120"/>
      <c r="T32"/>
      <c r="U32" s="10"/>
      <c r="V32" s="120"/>
    </row>
    <row r="33" spans="1:49" ht="18" x14ac:dyDescent="0.3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0"/>
      <c r="R33" s="10"/>
    </row>
    <row r="34" spans="1:49" ht="18.600000000000001" thickBot="1" x14ac:dyDescent="0.4">
      <c r="A34" s="145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145"/>
      <c r="R34" s="145"/>
      <c r="S34" s="120"/>
      <c r="T34" s="120"/>
      <c r="U34" s="120"/>
      <c r="X34" s="10"/>
      <c r="AA34" s="409" t="s">
        <v>245</v>
      </c>
      <c r="AB34" s="409"/>
      <c r="AC34" s="409"/>
      <c r="AD34" s="409"/>
      <c r="AE34" s="409"/>
    </row>
    <row r="35" spans="1:49" ht="19.8" customHeight="1" x14ac:dyDescent="0.35">
      <c r="A35" s="14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45"/>
      <c r="R35" s="145"/>
      <c r="S35" s="120"/>
      <c r="T35" s="120"/>
      <c r="U35" s="120"/>
      <c r="AA35" s="441" t="s">
        <v>238</v>
      </c>
      <c r="AB35" s="442"/>
      <c r="AC35" s="442"/>
      <c r="AD35" s="442"/>
      <c r="AE35" s="443"/>
    </row>
    <row r="36" spans="1:49" ht="22.2" customHeight="1" thickBot="1" x14ac:dyDescent="0.4">
      <c r="A36" s="14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45"/>
      <c r="R36" s="145"/>
      <c r="S36" s="120"/>
      <c r="T36" s="120"/>
      <c r="U36" s="120"/>
      <c r="AA36" s="444"/>
      <c r="AB36" s="445"/>
      <c r="AC36" s="445"/>
      <c r="AD36" s="445"/>
      <c r="AE36" s="446"/>
    </row>
    <row r="37" spans="1:49" ht="18" customHeight="1" x14ac:dyDescent="0.35">
      <c r="A37" s="14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5"/>
      <c r="R37" s="10"/>
      <c r="S37" s="411"/>
      <c r="T37" s="412"/>
      <c r="U37" s="412"/>
      <c r="X37" s="10"/>
      <c r="AA37" s="120"/>
    </row>
    <row r="38" spans="1:49" ht="18" customHeight="1" x14ac:dyDescent="0.35">
      <c r="A38" s="14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5"/>
      <c r="R38" s="10"/>
      <c r="S38" s="141"/>
      <c r="T38" s="142"/>
      <c r="U38" s="142"/>
      <c r="X38" s="10"/>
      <c r="AA38" s="120"/>
    </row>
    <row r="39" spans="1:49" ht="18" customHeight="1" thickBot="1" x14ac:dyDescent="0.4">
      <c r="A39" s="14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5"/>
      <c r="R39" s="10"/>
      <c r="S39" s="141"/>
      <c r="T39" s="142"/>
      <c r="U39" s="142"/>
      <c r="V39" s="126" t="s">
        <v>256</v>
      </c>
      <c r="X39" s="10"/>
      <c r="AA39" s="120"/>
    </row>
    <row r="40" spans="1:49" ht="18.600000000000001" thickBot="1" x14ac:dyDescent="0.4">
      <c r="A40" s="10"/>
      <c r="B40" s="10"/>
      <c r="C40" s="10"/>
      <c r="D40" s="10"/>
      <c r="E40" s="10"/>
      <c r="F40" s="144"/>
      <c r="G40" s="10"/>
      <c r="H40" s="10"/>
      <c r="I40" s="10"/>
      <c r="J40" s="144"/>
      <c r="K40" s="440"/>
      <c r="L40" s="440"/>
      <c r="M40" s="10"/>
      <c r="N40" s="10"/>
      <c r="O40" s="10"/>
      <c r="P40" s="10"/>
      <c r="Q40" s="10"/>
      <c r="R40" s="10"/>
      <c r="T40"/>
      <c r="W40" s="425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7"/>
      <c r="AL40" s="120"/>
      <c r="AM40" s="120"/>
      <c r="AN40" s="120"/>
      <c r="AO40" s="120"/>
      <c r="AP40" s="120"/>
      <c r="AQ40" s="120"/>
      <c r="AR40" s="10"/>
      <c r="AS40" s="10"/>
      <c r="AT40" s="10"/>
      <c r="AU40" s="10"/>
      <c r="AV40" s="10"/>
      <c r="AW40" s="10"/>
    </row>
    <row r="41" spans="1:49" ht="18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T41"/>
      <c r="W41" s="97"/>
      <c r="X41" s="101"/>
      <c r="Y41" s="100"/>
      <c r="Z41" s="149"/>
      <c r="AA41" s="149"/>
      <c r="AB41" s="100"/>
      <c r="AC41" s="100"/>
      <c r="AD41" s="149"/>
      <c r="AE41" s="149"/>
      <c r="AF41" s="149"/>
      <c r="AG41" s="149"/>
      <c r="AH41" s="100"/>
      <c r="AI41" s="100"/>
      <c r="AJ41" s="102"/>
      <c r="AK41" s="99"/>
      <c r="AL41" s="120"/>
      <c r="AM41" s="120"/>
      <c r="AN41" s="120"/>
      <c r="AO41" s="120"/>
      <c r="AP41" s="120"/>
      <c r="AQ41" s="120"/>
      <c r="AR41" s="10"/>
      <c r="AS41" s="410"/>
      <c r="AT41" s="410"/>
      <c r="AU41" s="410"/>
      <c r="AV41" s="410"/>
      <c r="AW41" s="410"/>
    </row>
    <row r="42" spans="1:49" ht="18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T42"/>
      <c r="W42" s="97"/>
      <c r="X42" s="105"/>
      <c r="Y42" s="104"/>
      <c r="Z42" s="150"/>
      <c r="AA42" s="150"/>
      <c r="AB42" s="104"/>
      <c r="AC42" s="104"/>
      <c r="AD42" s="150"/>
      <c r="AE42" s="150"/>
      <c r="AF42" s="150"/>
      <c r="AG42" s="150"/>
      <c r="AH42" s="104"/>
      <c r="AI42" s="104"/>
      <c r="AJ42" s="106"/>
      <c r="AK42" s="99"/>
      <c r="AL42" s="120"/>
      <c r="AM42" s="120"/>
      <c r="AN42" s="120"/>
      <c r="AO42" s="120"/>
      <c r="AP42" s="120"/>
      <c r="AQ42" s="120"/>
      <c r="AR42" s="10"/>
      <c r="AS42" s="410"/>
      <c r="AT42" s="410"/>
      <c r="AU42" s="410"/>
      <c r="AV42" s="410"/>
      <c r="AW42" s="410"/>
    </row>
    <row r="43" spans="1:49" ht="18.600000000000001" thickBot="1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8"/>
      <c r="S43" s="128"/>
      <c r="T43" s="128"/>
      <c r="U43" s="128"/>
      <c r="W43" s="97"/>
      <c r="X43" s="105"/>
      <c r="Y43" s="104"/>
      <c r="Z43" s="150"/>
      <c r="AA43" s="150"/>
      <c r="AB43" s="104"/>
      <c r="AC43" s="104"/>
      <c r="AD43" s="150"/>
      <c r="AE43" s="150"/>
      <c r="AF43" s="150"/>
      <c r="AG43" s="150"/>
      <c r="AH43" s="104"/>
      <c r="AI43" s="104"/>
      <c r="AJ43" s="106"/>
      <c r="AK43" s="99"/>
      <c r="AL43" s="120"/>
      <c r="AM43" s="10"/>
      <c r="AN43" s="411"/>
      <c r="AO43" s="412"/>
      <c r="AP43" s="412"/>
      <c r="AQ43" s="412"/>
      <c r="AR43" s="10"/>
      <c r="AS43" s="10"/>
      <c r="AT43" s="10"/>
      <c r="AU43" s="10"/>
      <c r="AV43" s="10"/>
      <c r="AW43" s="10"/>
    </row>
    <row r="44" spans="1:49" ht="18.600000000000001" thickBot="1" x14ac:dyDescent="0.4">
      <c r="A44" s="10"/>
      <c r="B44" s="10"/>
      <c r="C44" s="10"/>
      <c r="D44" s="10"/>
      <c r="E44" s="450" t="s">
        <v>240</v>
      </c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2"/>
      <c r="R44" s="128"/>
      <c r="S44" s="128"/>
      <c r="T44" s="128"/>
      <c r="U44" s="128"/>
      <c r="W44" s="97"/>
      <c r="X44" s="105"/>
      <c r="Y44" s="104"/>
      <c r="Z44" s="150"/>
      <c r="AA44" s="150"/>
      <c r="AB44" s="104"/>
      <c r="AC44" s="104"/>
      <c r="AD44" s="150"/>
      <c r="AE44" s="150"/>
      <c r="AF44" s="150"/>
      <c r="AG44" s="150"/>
      <c r="AH44" s="104"/>
      <c r="AI44" s="104"/>
      <c r="AJ44" s="106"/>
      <c r="AK44" s="99"/>
      <c r="AL44" s="120"/>
      <c r="AM44" s="153"/>
      <c r="AN44" s="127" t="s">
        <v>251</v>
      </c>
      <c r="AU44" s="10"/>
    </row>
    <row r="45" spans="1:49" ht="15" thickBot="1" x14ac:dyDescent="0.35">
      <c r="A45" s="10"/>
      <c r="B45" s="10"/>
      <c r="C45" s="10"/>
      <c r="D45" s="10"/>
      <c r="E45" s="453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5"/>
      <c r="R45" s="128"/>
      <c r="S45" s="128"/>
      <c r="T45" s="128"/>
      <c r="U45" s="128"/>
      <c r="W45" s="97"/>
      <c r="X45" s="105"/>
      <c r="Y45" s="104"/>
      <c r="Z45" s="150"/>
      <c r="AA45" s="150"/>
      <c r="AB45" s="104"/>
      <c r="AC45" s="104"/>
      <c r="AD45" s="150"/>
      <c r="AE45" s="150"/>
      <c r="AF45" s="150"/>
      <c r="AG45" s="150"/>
      <c r="AH45" s="104"/>
      <c r="AI45" s="104"/>
      <c r="AJ45" s="106"/>
      <c r="AK45" s="99"/>
      <c r="AM45" s="116"/>
      <c r="AN45" s="127" t="s">
        <v>242</v>
      </c>
      <c r="AU45" s="10"/>
    </row>
    <row r="46" spans="1:49" ht="15" thickBot="1" x14ac:dyDescent="0.35">
      <c r="A46" s="10"/>
      <c r="B46" s="10"/>
      <c r="C46" s="10"/>
      <c r="D46" s="10"/>
      <c r="E46" s="453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5"/>
      <c r="R46" s="146"/>
      <c r="T46"/>
      <c r="W46" s="97"/>
      <c r="X46" s="105"/>
      <c r="Y46" s="104"/>
      <c r="Z46" s="150"/>
      <c r="AA46" s="150"/>
      <c r="AB46" s="104"/>
      <c r="AC46" s="104"/>
      <c r="AD46" s="150"/>
      <c r="AE46" s="150"/>
      <c r="AF46" s="150"/>
      <c r="AG46" s="150"/>
      <c r="AH46" s="104"/>
      <c r="AI46" s="104"/>
      <c r="AJ46" s="106"/>
      <c r="AK46" s="99"/>
      <c r="AM46" s="117"/>
      <c r="AN46" s="127" t="s">
        <v>243</v>
      </c>
      <c r="AU46" s="10"/>
    </row>
    <row r="47" spans="1:49" x14ac:dyDescent="0.3">
      <c r="A47" s="10"/>
      <c r="B47" s="10"/>
      <c r="C47" s="10"/>
      <c r="D47" s="10"/>
      <c r="E47" s="456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8"/>
      <c r="R47" s="10"/>
      <c r="T47"/>
      <c r="W47" s="97"/>
      <c r="X47" s="105"/>
      <c r="Y47" s="104"/>
      <c r="Z47" s="150"/>
      <c r="AA47" s="151"/>
      <c r="AB47" s="104"/>
      <c r="AC47" s="104"/>
      <c r="AD47" s="150"/>
      <c r="AE47" s="151"/>
      <c r="AF47" s="459"/>
      <c r="AG47" s="459"/>
      <c r="AH47" s="104"/>
      <c r="AI47" s="104"/>
      <c r="AJ47" s="106"/>
      <c r="AK47" s="99"/>
      <c r="AU47" s="10"/>
    </row>
    <row r="48" spans="1:49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T48"/>
      <c r="W48" s="97"/>
      <c r="X48" s="105"/>
      <c r="Y48" s="104"/>
      <c r="Z48" s="150"/>
      <c r="AA48" s="150"/>
      <c r="AB48" s="104"/>
      <c r="AC48" s="104"/>
      <c r="AD48" s="150"/>
      <c r="AE48" s="150"/>
      <c r="AF48" s="150"/>
      <c r="AG48" s="150"/>
      <c r="AH48" s="104"/>
      <c r="AI48" s="104"/>
      <c r="AJ48" s="106"/>
      <c r="AK48" s="99"/>
      <c r="AU48" s="10"/>
    </row>
    <row r="49" spans="1:47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T49"/>
      <c r="W49" s="97"/>
      <c r="X49" s="105"/>
      <c r="Y49" s="104"/>
      <c r="Z49" s="154" t="s">
        <v>148</v>
      </c>
      <c r="AA49" s="155" t="s">
        <v>148</v>
      </c>
      <c r="AB49" s="104"/>
      <c r="AC49" s="104"/>
      <c r="AD49" s="154" t="s">
        <v>148</v>
      </c>
      <c r="AE49" s="151"/>
      <c r="AF49" s="449" t="s">
        <v>148</v>
      </c>
      <c r="AG49" s="449"/>
      <c r="AH49" s="104"/>
      <c r="AI49" s="104"/>
      <c r="AJ49" s="106"/>
      <c r="AK49" s="99"/>
      <c r="AU49" s="10"/>
    </row>
    <row r="50" spans="1:47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T50"/>
      <c r="W50" s="97"/>
      <c r="X50" s="105"/>
      <c r="Y50" s="104"/>
      <c r="Z50" s="150"/>
      <c r="AA50" s="150"/>
      <c r="AB50" s="104"/>
      <c r="AC50" s="104"/>
      <c r="AD50" s="150"/>
      <c r="AE50" s="150"/>
      <c r="AF50" s="150"/>
      <c r="AG50" s="150"/>
      <c r="AH50" s="104"/>
      <c r="AI50" s="104"/>
      <c r="AJ50" s="106"/>
      <c r="AK50" s="99"/>
      <c r="AM50" s="128"/>
      <c r="AN50" s="128"/>
      <c r="AO50" s="128"/>
      <c r="AP50" s="128"/>
      <c r="AQ50" s="128"/>
      <c r="AU50" s="10"/>
    </row>
    <row r="51" spans="1:47" x14ac:dyDescent="0.3">
      <c r="A51" s="10"/>
      <c r="B51" s="10"/>
      <c r="C51" s="447"/>
      <c r="D51" s="447"/>
      <c r="E51" s="447"/>
      <c r="F51" s="447"/>
      <c r="G51" s="447"/>
      <c r="H51" s="447"/>
      <c r="I51" s="448"/>
      <c r="J51" s="448"/>
      <c r="K51" s="448"/>
      <c r="L51" s="448"/>
      <c r="M51" s="448"/>
      <c r="N51" s="448"/>
      <c r="O51" s="448"/>
      <c r="P51" s="10"/>
      <c r="Q51" s="10"/>
      <c r="R51" s="10"/>
      <c r="T51"/>
      <c r="W51" s="97"/>
      <c r="X51" s="105"/>
      <c r="Y51" s="104"/>
      <c r="Z51" s="150"/>
      <c r="AA51" s="150"/>
      <c r="AB51" s="104"/>
      <c r="AC51" s="104"/>
      <c r="AD51" s="150"/>
      <c r="AE51" s="150"/>
      <c r="AF51" s="150"/>
      <c r="AG51" s="150"/>
      <c r="AH51" s="104"/>
      <c r="AI51" s="104"/>
      <c r="AJ51" s="106"/>
      <c r="AK51" s="99"/>
      <c r="AM51" s="128"/>
      <c r="AN51" s="128"/>
      <c r="AO51" s="128"/>
      <c r="AP51" s="128"/>
      <c r="AQ51" s="128"/>
      <c r="AU51" s="10"/>
    </row>
    <row r="52" spans="1:47" x14ac:dyDescent="0.3">
      <c r="W52" s="97"/>
      <c r="X52" s="105"/>
      <c r="Y52" s="104"/>
      <c r="Z52" s="150"/>
      <c r="AA52" s="150"/>
      <c r="AB52" s="104"/>
      <c r="AC52" s="104"/>
      <c r="AD52" s="150"/>
      <c r="AE52" s="150"/>
      <c r="AF52" s="150"/>
      <c r="AG52" s="150"/>
      <c r="AH52" s="104"/>
      <c r="AI52" s="104"/>
      <c r="AJ52" s="106"/>
      <c r="AK52" s="99"/>
      <c r="AM52" s="128"/>
      <c r="AN52" s="128"/>
      <c r="AO52" s="128"/>
      <c r="AP52" s="128"/>
      <c r="AQ52" s="128"/>
      <c r="AU52" s="10"/>
    </row>
    <row r="53" spans="1:47" x14ac:dyDescent="0.3">
      <c r="W53" s="97"/>
      <c r="X53" s="105"/>
      <c r="Y53" s="104"/>
      <c r="Z53" s="150"/>
      <c r="AA53" s="150"/>
      <c r="AB53" s="104"/>
      <c r="AC53" s="104"/>
      <c r="AD53" s="150"/>
      <c r="AE53" s="150"/>
      <c r="AF53" s="150"/>
      <c r="AG53" s="150"/>
      <c r="AH53" s="104"/>
      <c r="AI53" s="104"/>
      <c r="AJ53" s="106"/>
      <c r="AK53" s="99"/>
      <c r="AM53" s="125"/>
      <c r="AU53" s="10"/>
    </row>
    <row r="54" spans="1:47" x14ac:dyDescent="0.3">
      <c r="W54" s="97"/>
      <c r="X54" s="105"/>
      <c r="Y54" s="104"/>
      <c r="Z54" s="150"/>
      <c r="AA54" s="150"/>
      <c r="AB54" s="104"/>
      <c r="AC54" s="104"/>
      <c r="AD54" s="150"/>
      <c r="AE54" s="150"/>
      <c r="AF54" s="150"/>
      <c r="AG54" s="150"/>
      <c r="AH54" s="104"/>
      <c r="AI54" s="104"/>
      <c r="AJ54" s="106"/>
      <c r="AK54" s="99"/>
      <c r="AU54" s="10"/>
    </row>
    <row r="55" spans="1:47" x14ac:dyDescent="0.3">
      <c r="W55" s="97"/>
      <c r="X55" s="105"/>
      <c r="Y55" s="104"/>
      <c r="Z55" s="150"/>
      <c r="AA55" s="150"/>
      <c r="AB55" s="104"/>
      <c r="AC55" s="104"/>
      <c r="AD55" s="150"/>
      <c r="AE55" s="150"/>
      <c r="AF55" s="150"/>
      <c r="AG55" s="150"/>
      <c r="AH55" s="104"/>
      <c r="AI55" s="104"/>
      <c r="AJ55" s="106"/>
      <c r="AK55" s="99"/>
      <c r="AU55" s="10"/>
    </row>
    <row r="56" spans="1:47" x14ac:dyDescent="0.3">
      <c r="W56" s="97"/>
      <c r="X56" s="105"/>
      <c r="Y56" s="104"/>
      <c r="Z56" s="150"/>
      <c r="AA56" s="150"/>
      <c r="AB56" s="104"/>
      <c r="AC56" s="104"/>
      <c r="AD56" s="150"/>
      <c r="AE56" s="150"/>
      <c r="AF56" s="150"/>
      <c r="AG56" s="150"/>
      <c r="AH56" s="104"/>
      <c r="AI56" s="104"/>
      <c r="AJ56" s="106"/>
      <c r="AK56" s="99"/>
      <c r="AU56" s="10"/>
    </row>
    <row r="57" spans="1:47" ht="15" thickBot="1" x14ac:dyDescent="0.35">
      <c r="U57" s="10"/>
      <c r="V57" s="10"/>
      <c r="W57" s="97"/>
      <c r="X57" s="109"/>
      <c r="Y57" s="108"/>
      <c r="Z57" s="152"/>
      <c r="AA57" s="152"/>
      <c r="AB57" s="108"/>
      <c r="AC57" s="108"/>
      <c r="AD57" s="152"/>
      <c r="AE57" s="152"/>
      <c r="AF57" s="152"/>
      <c r="AG57" s="152"/>
      <c r="AH57" s="108"/>
      <c r="AI57" s="108"/>
      <c r="AJ57" s="110"/>
      <c r="AK57" s="99"/>
      <c r="AU57" s="10"/>
    </row>
    <row r="58" spans="1:47" ht="15" thickBot="1" x14ac:dyDescent="0.35">
      <c r="U58" s="10"/>
      <c r="V58" s="10"/>
      <c r="W58" s="111"/>
      <c r="X58" s="416" t="s">
        <v>234</v>
      </c>
      <c r="Y58" s="416"/>
      <c r="Z58" s="416" t="s">
        <v>235</v>
      </c>
      <c r="AA58" s="416"/>
      <c r="AB58" s="416" t="s">
        <v>234</v>
      </c>
      <c r="AC58" s="416"/>
      <c r="AD58" s="415" t="s">
        <v>235</v>
      </c>
      <c r="AE58" s="415"/>
      <c r="AF58" s="415"/>
      <c r="AG58" s="415"/>
      <c r="AH58" s="415" t="s">
        <v>234</v>
      </c>
      <c r="AI58" s="415"/>
      <c r="AJ58" s="415"/>
      <c r="AK58" s="113"/>
      <c r="AU58" s="10"/>
    </row>
    <row r="59" spans="1:47" x14ac:dyDescent="0.3"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7" ht="18" x14ac:dyDescent="0.35">
      <c r="U60" s="10"/>
      <c r="V60" s="414"/>
      <c r="W60" s="414"/>
      <c r="X60" s="414"/>
      <c r="Y60" s="414"/>
      <c r="Z60" s="414"/>
      <c r="AA60" s="414"/>
      <c r="AB60" s="414"/>
      <c r="AC60" s="145"/>
      <c r="AD60" s="145"/>
      <c r="AE60" s="145"/>
      <c r="AF60" s="145"/>
      <c r="AG60" s="145"/>
      <c r="AH60" s="145"/>
      <c r="AI60" s="10"/>
      <c r="AJ60" s="10"/>
      <c r="AK60" s="10"/>
      <c r="AL60" s="10"/>
      <c r="AM60" s="10"/>
      <c r="AN60" s="10"/>
      <c r="AO60" s="10"/>
    </row>
    <row r="61" spans="1:47" ht="18" x14ac:dyDescent="0.35">
      <c r="U61" s="10"/>
      <c r="V61" s="10"/>
      <c r="W61" s="10"/>
      <c r="X61" s="10"/>
      <c r="Y61" s="10"/>
      <c r="Z61" s="10"/>
      <c r="AA61" s="10"/>
      <c r="AB61" s="10"/>
      <c r="AC61" s="145"/>
      <c r="AD61" s="145"/>
      <c r="AE61" s="145"/>
      <c r="AF61" s="145"/>
      <c r="AG61" s="145"/>
      <c r="AH61" s="145"/>
      <c r="AI61" s="10"/>
      <c r="AJ61" s="10"/>
      <c r="AK61" s="10"/>
      <c r="AL61" s="10"/>
      <c r="AM61" s="10"/>
      <c r="AN61" s="10"/>
      <c r="AO61" s="10"/>
    </row>
    <row r="62" spans="1:47" ht="18" x14ac:dyDescent="0.35">
      <c r="U62" s="10"/>
      <c r="V62" s="10"/>
      <c r="W62" s="10"/>
      <c r="X62" s="10"/>
      <c r="Y62" s="10"/>
      <c r="Z62" s="10"/>
      <c r="AA62" s="10"/>
      <c r="AB62" s="10"/>
      <c r="AC62" s="145"/>
      <c r="AD62" s="145"/>
      <c r="AE62" s="145"/>
      <c r="AF62" s="145"/>
      <c r="AG62" s="145"/>
      <c r="AH62" s="145"/>
      <c r="AI62" s="10"/>
      <c r="AJ62" s="10"/>
      <c r="AK62" s="10"/>
      <c r="AL62" s="10"/>
      <c r="AM62" s="10"/>
      <c r="AN62" s="10"/>
      <c r="AO62" s="10"/>
    </row>
    <row r="63" spans="1:47" ht="18" x14ac:dyDescent="0.35">
      <c r="U63" s="10"/>
      <c r="V63" s="10"/>
      <c r="W63" s="10"/>
      <c r="X63" s="10"/>
      <c r="Y63" s="10"/>
      <c r="Z63" s="10"/>
      <c r="AA63" s="10"/>
      <c r="AB63" s="10"/>
      <c r="AC63" s="145"/>
      <c r="AD63" s="10"/>
      <c r="AE63" s="413"/>
      <c r="AF63" s="413"/>
      <c r="AG63" s="413"/>
      <c r="AH63" s="413"/>
      <c r="AI63" s="10"/>
      <c r="AJ63" s="10"/>
      <c r="AK63" s="10"/>
      <c r="AL63" s="10"/>
      <c r="AM63" s="10"/>
      <c r="AN63" s="10"/>
      <c r="AO63" s="10"/>
    </row>
    <row r="64" spans="1:47" ht="18" x14ac:dyDescent="0.35">
      <c r="U64" s="10"/>
      <c r="V64" s="10"/>
      <c r="W64" s="10"/>
      <c r="X64" s="10"/>
      <c r="Y64" s="10"/>
      <c r="Z64" s="10"/>
      <c r="AA64" s="10"/>
      <c r="AB64" s="10"/>
      <c r="AC64" s="145"/>
      <c r="AD64" s="10"/>
      <c r="AE64" s="147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21:41" x14ac:dyDescent="0.3"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47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21:41" x14ac:dyDescent="0.3"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7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21:41" x14ac:dyDescent="0.3"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21:41" x14ac:dyDescent="0.3"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21:41" x14ac:dyDescent="0.3"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21:41" x14ac:dyDescent="0.3">
      <c r="U70" s="10"/>
      <c r="V70" s="10"/>
      <c r="W70" s="10"/>
      <c r="X70" s="10"/>
      <c r="Y70" s="10"/>
      <c r="Z70" s="10"/>
      <c r="AA70" s="10"/>
      <c r="AB70" s="10"/>
      <c r="AC70" s="10"/>
      <c r="AD70" s="128"/>
      <c r="AE70" s="128"/>
      <c r="AF70" s="128"/>
      <c r="AG70" s="128"/>
      <c r="AH70" s="128"/>
      <c r="AI70" s="10"/>
      <c r="AJ70" s="10"/>
      <c r="AK70" s="10"/>
      <c r="AL70" s="10"/>
      <c r="AM70" s="10"/>
      <c r="AN70" s="10"/>
      <c r="AO70" s="10"/>
    </row>
    <row r="71" spans="21:41" x14ac:dyDescent="0.3">
      <c r="U71" s="10"/>
      <c r="V71" s="10"/>
      <c r="W71" s="10"/>
      <c r="X71" s="10"/>
      <c r="Y71" s="10"/>
      <c r="Z71" s="10"/>
      <c r="AA71" s="10"/>
      <c r="AB71" s="10"/>
      <c r="AC71" s="10"/>
      <c r="AD71" s="128"/>
      <c r="AE71" s="128"/>
      <c r="AF71" s="128"/>
      <c r="AG71" s="128"/>
      <c r="AH71" s="128"/>
      <c r="AI71" s="10"/>
      <c r="AJ71" s="10"/>
      <c r="AK71" s="10"/>
      <c r="AL71" s="10"/>
      <c r="AM71" s="10"/>
      <c r="AN71" s="10"/>
      <c r="AO71" s="10"/>
    </row>
    <row r="72" spans="21:41" x14ac:dyDescent="0.3">
      <c r="U72" s="10"/>
      <c r="V72" s="10"/>
      <c r="W72" s="10"/>
      <c r="X72" s="10"/>
      <c r="Y72" s="10"/>
      <c r="Z72" s="10"/>
      <c r="AA72" s="10"/>
      <c r="AB72" s="10"/>
      <c r="AC72" s="10"/>
      <c r="AD72" s="128"/>
      <c r="AE72" s="128"/>
      <c r="AF72" s="128"/>
      <c r="AG72" s="128"/>
      <c r="AH72" s="128"/>
      <c r="AI72" s="10"/>
      <c r="AJ72" s="10"/>
      <c r="AK72" s="10"/>
      <c r="AL72" s="10"/>
      <c r="AM72" s="10"/>
      <c r="AN72" s="10"/>
      <c r="AO72" s="10"/>
    </row>
    <row r="73" spans="21:41" x14ac:dyDescent="0.3">
      <c r="U73" s="10"/>
      <c r="V73" s="10"/>
      <c r="W73" s="10"/>
      <c r="X73" s="10"/>
      <c r="Y73" s="10"/>
      <c r="Z73" s="10"/>
      <c r="AA73" s="10"/>
      <c r="AB73" s="10"/>
      <c r="AC73" s="10"/>
      <c r="AD73" s="146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21:41" x14ac:dyDescent="0.3"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21:41" x14ac:dyDescent="0.3"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21:41" x14ac:dyDescent="0.3"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21:41" x14ac:dyDescent="0.3"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21:41" x14ac:dyDescent="0.3">
      <c r="U78" s="10"/>
      <c r="V78" s="148"/>
      <c r="W78" s="9"/>
      <c r="X78" s="148"/>
      <c r="Y78" s="9"/>
      <c r="Z78" s="148"/>
      <c r="AA78" s="9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21:41" x14ac:dyDescent="0.3"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21:41" x14ac:dyDescent="0.3"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21:41" x14ac:dyDescent="0.3"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</sheetData>
  <sheetProtection algorithmName="SHA-512" hashValue="d8YlSfleo2LHkd+NEwgL3YrPKOUNDnM5IxKELOWgt/mDUI+G0d34VrfCxw8MH4P6vW4jd3pEblHHYwXS6M2IvQ==" saltValue="665xTX7mQykmC4/d/cHn5A==" spinCount="100000" sheet="1" objects="1" scenarios="1" selectLockedCells="1"/>
  <mergeCells count="42">
    <mergeCell ref="AD58:AG58"/>
    <mergeCell ref="AH58:AJ58"/>
    <mergeCell ref="K40:L40"/>
    <mergeCell ref="AA35:AE36"/>
    <mergeCell ref="C51:D51"/>
    <mergeCell ref="E51:F51"/>
    <mergeCell ref="G51:H51"/>
    <mergeCell ref="I51:L51"/>
    <mergeCell ref="M51:O51"/>
    <mergeCell ref="S37:U37"/>
    <mergeCell ref="W40:AK40"/>
    <mergeCell ref="AF49:AG49"/>
    <mergeCell ref="E44:Q47"/>
    <mergeCell ref="AF47:AG47"/>
    <mergeCell ref="L16:M16"/>
    <mergeCell ref="L17:M17"/>
    <mergeCell ref="L18:M18"/>
    <mergeCell ref="B34:P34"/>
    <mergeCell ref="N15:Q15"/>
    <mergeCell ref="L26:S27"/>
    <mergeCell ref="A1:AA1"/>
    <mergeCell ref="A4:B4"/>
    <mergeCell ref="A5:B6"/>
    <mergeCell ref="A8:B8"/>
    <mergeCell ref="B12:J12"/>
    <mergeCell ref="W12:AK12"/>
    <mergeCell ref="AA34:AE34"/>
    <mergeCell ref="AS13:AW14"/>
    <mergeCell ref="AN15:AQ15"/>
    <mergeCell ref="AE63:AH63"/>
    <mergeCell ref="V60:AB60"/>
    <mergeCell ref="AH30:AJ30"/>
    <mergeCell ref="AD30:AG30"/>
    <mergeCell ref="AB30:AC30"/>
    <mergeCell ref="Z30:AA30"/>
    <mergeCell ref="X30:Y30"/>
    <mergeCell ref="AF19:AG19"/>
    <mergeCell ref="AS41:AW42"/>
    <mergeCell ref="AN43:AQ43"/>
    <mergeCell ref="X58:Y58"/>
    <mergeCell ref="Z58:AA58"/>
    <mergeCell ref="AB58:AC58"/>
  </mergeCells>
  <pageMargins left="0.35433070866141736" right="0.23622047244094491" top="0.31496062992125984" bottom="0.31496062992125984" header="0.31496062992125984" footer="0.31496062992125984"/>
  <pageSetup paperSize="3" scale="74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Feuille de calcul</vt:lpstr>
      <vt:lpstr>Aide supplémentaire</vt:lpstr>
      <vt:lpstr>Traitements admissibles</vt:lpstr>
      <vt:lpstr>Réductions zones-bandes</vt:lpstr>
      <vt:lpstr>'Aide supplémentaire'!formule</vt:lpstr>
      <vt:lpstr>formule</vt:lpstr>
      <vt:lpstr>heberg</vt:lpstr>
      <vt:lpstr>'Feuille de calcul'!manuel</vt:lpstr>
      <vt:lpstr>'Aide supplémentaire'!ouinon</vt:lpstr>
      <vt:lpstr>'Feuille de calcul'!ouinon</vt:lpstr>
      <vt:lpstr>Tigerécoltée</vt:lpstr>
      <vt:lpstr>UAF</vt:lpstr>
      <vt:lpstr>zone</vt:lpstr>
      <vt:lpstr>'Aide supplémentaire'!Zone_d_impression</vt:lpstr>
      <vt:lpstr>'Feuille de calcul'!Zone_d_impression</vt:lpstr>
      <vt:lpstr>'Réductions zones-bandes'!Zone_d_impression</vt:lpstr>
      <vt:lpstr>'Traitements admissibles'!Zone_d_impression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St-Pierre, Stéphane (BMMB)</dc:creator>
  <cp:lastModifiedBy>St-Pierre, Stéphane (BMMB)</cp:lastModifiedBy>
  <cp:lastPrinted>2016-05-09T18:57:36Z</cp:lastPrinted>
  <dcterms:created xsi:type="dcterms:W3CDTF">2015-06-22T15:42:04Z</dcterms:created>
  <dcterms:modified xsi:type="dcterms:W3CDTF">2016-05-11T20:13:51Z</dcterms:modified>
</cp:coreProperties>
</file>