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1411ae\DEEOF\BMMB\Taux_commerciaux\Taux_2015-16\VTSCP version officielle_BMMB_20150423\"/>
    </mc:Choice>
  </mc:AlternateContent>
  <bookViews>
    <workbookView xWindow="-15" yWindow="-15" windowWidth="15480" windowHeight="5760" tabRatio="681" firstSheet="1" activeTab="1"/>
  </bookViews>
  <sheets>
    <sheet name="Modifs" sheetId="55" state="hidden" r:id="rId1"/>
    <sheet name="Formule 1" sheetId="47" r:id="rId2"/>
    <sheet name="Formule 2" sheetId="48" r:id="rId3"/>
    <sheet name="Formule 3" sheetId="49" r:id="rId4"/>
    <sheet name="Formule 4" sheetId="36" r:id="rId5"/>
    <sheet name="Formule 5" sheetId="50" r:id="rId6"/>
    <sheet name="Formule 6" sheetId="52" r:id="rId7"/>
    <sheet name="Formule 7" sheetId="51" r:id="rId8"/>
    <sheet name="Aide supplé à l'aménagement" sheetId="56" r:id="rId9"/>
    <sheet name="Patrons" sheetId="53" r:id="rId10"/>
    <sheet name="Liste" sheetId="46" state="hidden" r:id="rId11"/>
    <sheet name="Traitements_Admissibles" sheetId="43" r:id="rId12"/>
  </sheets>
  <definedNames>
    <definedName name="Hebexe">Liste!$A$2:$A$3</definedName>
    <definedName name="Hebverif">Liste!$B$2:$B$3</definedName>
    <definedName name="InvAT">Liste!$F$2:$F$3</definedName>
    <definedName name="Investissement">Liste!$C$2:$C$3</definedName>
    <definedName name="Manuel">Liste!$H$2:$H$3</definedName>
    <definedName name="Qualite">Liste!$E$2:$E$3</definedName>
    <definedName name="Rapport">Liste!$G$2:$G$3</definedName>
    <definedName name="Sup">Liste!$D$2:$D$3</definedName>
    <definedName name="_xlnm.Print_Area" localSheetId="8">'Aide supplé à l''aménagement'!$A$1:$J$67</definedName>
  </definedNames>
  <calcPr calcId="152511"/>
</workbook>
</file>

<file path=xl/calcChain.xml><?xml version="1.0" encoding="utf-8"?>
<calcChain xmlns="http://schemas.openxmlformats.org/spreadsheetml/2006/main">
  <c r="W29" i="56" l="1"/>
  <c r="D64" i="51"/>
  <c r="D71" i="52"/>
  <c r="A51" i="56"/>
  <c r="A50" i="56"/>
  <c r="W15" i="56"/>
  <c r="W14" i="56"/>
  <c r="H14" i="51"/>
  <c r="H24" i="51"/>
  <c r="G14" i="52"/>
  <c r="G14" i="49"/>
  <c r="G21" i="49" s="1"/>
  <c r="H14" i="47"/>
  <c r="D59" i="47" s="1"/>
  <c r="G14" i="50"/>
  <c r="H14" i="36"/>
  <c r="H14" i="48"/>
  <c r="D56" i="48" s="1"/>
  <c r="D69" i="55"/>
  <c r="D68" i="55"/>
  <c r="D67" i="55"/>
  <c r="D63" i="55"/>
  <c r="D58" i="55"/>
  <c r="B52" i="48"/>
  <c r="D62" i="48" s="1"/>
  <c r="H21" i="48"/>
  <c r="H13" i="55"/>
  <c r="B54" i="55"/>
  <c r="B56" i="36"/>
  <c r="E56" i="36"/>
  <c r="H20" i="55"/>
  <c r="H26" i="55"/>
  <c r="H34" i="55"/>
  <c r="D61" i="55"/>
  <c r="H42" i="55"/>
  <c r="D62" i="55"/>
  <c r="D65" i="55"/>
  <c r="C53" i="55"/>
  <c r="C52" i="55"/>
  <c r="C51" i="55"/>
  <c r="C50" i="55"/>
  <c r="C54" i="55"/>
  <c r="C49" i="55"/>
  <c r="H21" i="51"/>
  <c r="G31" i="50"/>
  <c r="H25" i="36"/>
  <c r="H21" i="47"/>
  <c r="G26" i="50"/>
  <c r="G34" i="50"/>
  <c r="G21" i="50"/>
  <c r="H32" i="51"/>
  <c r="H40" i="51" s="1"/>
  <c r="D59" i="51" s="1"/>
  <c r="G21" i="52"/>
  <c r="G39" i="52"/>
  <c r="D65" i="52" s="1"/>
  <c r="G42" i="50"/>
  <c r="G50" i="50" s="1"/>
  <c r="D69" i="50" s="1"/>
  <c r="H36" i="36"/>
  <c r="H44" i="36" s="1"/>
  <c r="E63" i="36" s="1"/>
  <c r="G29" i="49"/>
  <c r="G37" i="49" s="1"/>
  <c r="D56" i="49" s="1"/>
  <c r="H35" i="47"/>
  <c r="D61" i="47"/>
  <c r="H32" i="48"/>
  <c r="D58" i="48" s="1"/>
  <c r="B59" i="52"/>
  <c r="D69" i="52"/>
  <c r="F32" i="51"/>
  <c r="F33" i="51"/>
  <c r="F34" i="51"/>
  <c r="F35" i="51"/>
  <c r="F40" i="51"/>
  <c r="B52" i="51"/>
  <c r="D52" i="51"/>
  <c r="B62" i="50"/>
  <c r="D62" i="50"/>
  <c r="D67" i="50"/>
  <c r="B49" i="49"/>
  <c r="D59" i="49"/>
  <c r="B55" i="47"/>
  <c r="D65" i="47"/>
  <c r="D55" i="49"/>
  <c r="D62" i="49" s="1"/>
  <c r="G26" i="52"/>
  <c r="D62" i="51"/>
  <c r="D72" i="50"/>
  <c r="H43" i="47"/>
  <c r="D62" i="47" s="1"/>
  <c r="E62" i="36"/>
  <c r="E69" i="36" s="1"/>
  <c r="G22" i="52"/>
  <c r="D63" i="52"/>
  <c r="H23" i="55"/>
  <c r="H28" i="55"/>
  <c r="H29" i="55"/>
  <c r="D51" i="55"/>
  <c r="E51" i="55"/>
  <c r="D52" i="55"/>
  <c r="E52" i="55"/>
  <c r="D49" i="55"/>
  <c r="E49" i="55"/>
  <c r="D53" i="55"/>
  <c r="E53" i="55"/>
  <c r="D50" i="55"/>
  <c r="E50" i="55"/>
  <c r="F54" i="55"/>
  <c r="D60" i="55"/>
  <c r="G22" i="50"/>
  <c r="D66" i="50"/>
  <c r="G31" i="52"/>
  <c r="G36" i="50"/>
  <c r="G37" i="50"/>
  <c r="G33" i="52"/>
  <c r="G34" i="52"/>
  <c r="C60" i="50"/>
  <c r="D60" i="50"/>
  <c r="C58" i="50"/>
  <c r="D58" i="50"/>
  <c r="C59" i="50"/>
  <c r="D59" i="50"/>
  <c r="C61" i="50"/>
  <c r="D61" i="50"/>
  <c r="C57" i="50"/>
  <c r="D57" i="50"/>
  <c r="H26" i="51"/>
  <c r="H27" i="51"/>
  <c r="D57" i="51"/>
  <c r="D56" i="51"/>
  <c r="C58" i="52"/>
  <c r="D58" i="52"/>
  <c r="C55" i="52"/>
  <c r="D55" i="52"/>
  <c r="C57" i="52"/>
  <c r="D57" i="52"/>
  <c r="C56" i="52"/>
  <c r="D56" i="52"/>
  <c r="C54" i="52"/>
  <c r="D54" i="52"/>
  <c r="C50" i="51"/>
  <c r="D50" i="51"/>
  <c r="C51" i="51"/>
  <c r="D51" i="51"/>
  <c r="C48" i="51"/>
  <c r="D48" i="51"/>
  <c r="C49" i="51"/>
  <c r="D49" i="51"/>
  <c r="C47" i="51"/>
  <c r="D47" i="51"/>
  <c r="D59" i="52"/>
  <c r="D64" i="52"/>
  <c r="D74" i="50"/>
  <c r="E66" i="36"/>
  <c r="D53" i="49"/>
  <c r="D49" i="49"/>
  <c r="D52" i="48"/>
  <c r="D55" i="47"/>
  <c r="W16" i="56" l="1"/>
  <c r="D58" i="51"/>
  <c r="D65" i="51"/>
  <c r="D60" i="51"/>
  <c r="D66" i="51" s="1"/>
  <c r="G47" i="52"/>
  <c r="D66" i="52" s="1"/>
  <c r="D67" i="52" s="1"/>
  <c r="D73" i="52" s="1"/>
  <c r="D68" i="50"/>
  <c r="D70" i="50"/>
  <c r="D76" i="50" s="1"/>
  <c r="D75" i="50"/>
  <c r="D68" i="47"/>
  <c r="H40" i="48"/>
  <c r="D59" i="48" s="1"/>
  <c r="D65" i="48" s="1"/>
  <c r="H24" i="48"/>
  <c r="D57" i="48" s="1"/>
  <c r="D64" i="48" s="1"/>
  <c r="H27" i="47"/>
  <c r="H24" i="47" s="1"/>
  <c r="D60" i="47" s="1"/>
  <c r="D67" i="47" s="1"/>
  <c r="G23" i="49"/>
  <c r="G24" i="49" s="1"/>
  <c r="D54" i="49"/>
  <c r="H29" i="47"/>
  <c r="H30" i="47" s="1"/>
  <c r="H46" i="56"/>
  <c r="H40" i="56"/>
  <c r="H22" i="56"/>
  <c r="H30" i="56"/>
  <c r="H20" i="36"/>
  <c r="E60" i="36" s="1"/>
  <c r="D72" i="52" l="1"/>
  <c r="D60" i="48"/>
  <c r="D66" i="48" s="1"/>
  <c r="H26" i="48"/>
  <c r="H27" i="48" s="1"/>
  <c r="D57" i="49"/>
  <c r="D63" i="49" s="1"/>
  <c r="D61" i="49"/>
  <c r="C47" i="49"/>
  <c r="D47" i="49" s="1"/>
  <c r="C48" i="49"/>
  <c r="D48" i="49" s="1"/>
  <c r="C44" i="49"/>
  <c r="D44" i="49" s="1"/>
  <c r="C46" i="49"/>
  <c r="D46" i="49" s="1"/>
  <c r="C45" i="49"/>
  <c r="D45" i="49" s="1"/>
  <c r="D63" i="47"/>
  <c r="D69" i="47" s="1"/>
  <c r="C52" i="47"/>
  <c r="D52" i="47" s="1"/>
  <c r="C53" i="47"/>
  <c r="D53" i="47" s="1"/>
  <c r="C51" i="47"/>
  <c r="D51" i="47" s="1"/>
  <c r="C50" i="47"/>
  <c r="D50" i="47" s="1"/>
  <c r="C54" i="47"/>
  <c r="D54" i="47" s="1"/>
  <c r="H51" i="56"/>
  <c r="H50" i="56"/>
  <c r="H52" i="56" s="1"/>
  <c r="H54" i="56" s="1"/>
  <c r="H32" i="56"/>
  <c r="H28" i="36"/>
  <c r="E61" i="36" s="1"/>
  <c r="E68" i="36" s="1"/>
  <c r="C47" i="48" l="1"/>
  <c r="D47" i="48" s="1"/>
  <c r="C49" i="48"/>
  <c r="D49" i="48" s="1"/>
  <c r="C48" i="48"/>
  <c r="D48" i="48" s="1"/>
  <c r="C51" i="48"/>
  <c r="D51" i="48" s="1"/>
  <c r="C50" i="48"/>
  <c r="D50" i="48" s="1"/>
  <c r="E64" i="36"/>
  <c r="E70" i="36" s="1"/>
  <c r="H30" i="36"/>
  <c r="H31" i="36" s="1"/>
  <c r="D52" i="36" l="1"/>
  <c r="E52" i="36" s="1"/>
  <c r="D54" i="36"/>
  <c r="E54" i="36" s="1"/>
  <c r="D55" i="36"/>
  <c r="E55" i="36" s="1"/>
  <c r="D51" i="36"/>
  <c r="E51" i="36" s="1"/>
  <c r="D53" i="36"/>
  <c r="E53" i="36" s="1"/>
</calcChain>
</file>

<file path=xl/comments1.xml><?xml version="1.0" encoding="utf-8"?>
<comments xmlns="http://schemas.openxmlformats.org/spreadsheetml/2006/main">
  <authors>
    <author>St-Pierre, Stéphane (BMMB)</author>
    <author>lacse4</author>
  </authors>
  <commentList>
    <comment ref="A14" authorId="0" shapeId="0">
      <text>
        <r>
          <rPr>
            <i/>
            <sz val="12"/>
            <color indexed="81"/>
            <rFont val="Tahoma"/>
            <family val="2"/>
          </rPr>
          <t>Les peuplements dont la surface terrière feuillue est dominée par les peupliers (&gt;50%) sont exclus de l'aide</t>
        </r>
        <r>
          <rPr>
            <sz val="12"/>
            <color indexed="81"/>
            <rFont val="Tahoma"/>
            <family val="2"/>
          </rPr>
          <t>.</t>
        </r>
      </text>
    </comment>
    <comment ref="B26" authorId="1" shapeId="0">
      <text>
        <r>
          <rPr>
            <sz val="8"/>
            <color indexed="81"/>
            <rFont val="Tahoma"/>
            <family val="2"/>
          </rPr>
          <t>% sur total des bois de trituration feuillus</t>
        </r>
      </text>
    </comment>
    <comment ref="B37" authorId="1" shapeId="0">
      <text>
        <r>
          <rPr>
            <sz val="8"/>
            <color indexed="81"/>
            <rFont val="Tahoma"/>
            <family val="2"/>
          </rPr>
          <t>% sur total des bois feuillus récoltés</t>
        </r>
      </text>
    </comment>
    <comment ref="B43" authorId="1" shapeId="0">
      <text>
        <r>
          <rPr>
            <sz val="8"/>
            <color indexed="81"/>
            <rFont val="Tahoma"/>
            <family val="2"/>
          </rPr>
          <t>% sur total des bois feuillus récoltés</t>
        </r>
      </text>
    </comment>
  </commentList>
</comments>
</file>

<file path=xl/sharedStrings.xml><?xml version="1.0" encoding="utf-8"?>
<sst xmlns="http://schemas.openxmlformats.org/spreadsheetml/2006/main" count="1222" uniqueCount="289">
  <si>
    <t>Nom et prénom de l'ingénieur forestier</t>
  </si>
  <si>
    <t>Signature de l'ingénieur forestier</t>
  </si>
  <si>
    <t>No de permis</t>
  </si>
  <si>
    <t>TOTAL</t>
  </si>
  <si>
    <t>Pente A</t>
  </si>
  <si>
    <t>Pente B</t>
  </si>
  <si>
    <t>Pente C</t>
  </si>
  <si>
    <t>Pente D</t>
  </si>
  <si>
    <t>Pente E</t>
  </si>
  <si>
    <t>$/ha</t>
  </si>
  <si>
    <t>ha</t>
  </si>
  <si>
    <t>$</t>
  </si>
  <si>
    <t xml:space="preserve">   TRAITEMENTS COMMERCIAUX</t>
  </si>
  <si>
    <t xml:space="preserve">SECTEUR D'INTERVENTION: </t>
  </si>
  <si>
    <t>UNITÉ DE COMPILATION:</t>
  </si>
  <si>
    <t>Espacement entre les sentiers</t>
  </si>
  <si>
    <t>m</t>
  </si>
  <si>
    <t>Supervision générale</t>
  </si>
  <si>
    <t>Inventaire après traitement</t>
  </si>
  <si>
    <t>Rapport d'exécution</t>
  </si>
  <si>
    <t>TAUX</t>
  </si>
  <si>
    <t>Patron sélectif</t>
  </si>
  <si>
    <t>Patron systématique</t>
  </si>
  <si>
    <t>Patron sélectif et mixte</t>
  </si>
  <si>
    <t>J'atteste que les renseignements fournis dans cette annexe à la prescription sylvicole afin de calculer les taux sont complets et conformes à la vérité au meilleur de mes connaissances.</t>
  </si>
  <si>
    <t>X</t>
  </si>
  <si>
    <t>FAMILLE</t>
  </si>
  <si>
    <t>NOM</t>
  </si>
  <si>
    <t>PATRON D'INTERVENTION</t>
  </si>
  <si>
    <t>CODE-DICA</t>
  </si>
  <si>
    <t>ADMISSIBLE</t>
  </si>
  <si>
    <t>NON
ADMISSIBLE</t>
  </si>
  <si>
    <t>Traitements d'éducation</t>
  </si>
  <si>
    <t>Éclaircie commerciale</t>
  </si>
  <si>
    <t>mixte</t>
  </si>
  <si>
    <t>sélectif</t>
  </si>
  <si>
    <t>systématique</t>
  </si>
  <si>
    <t>EC_SYS</t>
  </si>
  <si>
    <t>Coupe d'assainissement</t>
  </si>
  <si>
    <t>CAS</t>
  </si>
  <si>
    <t>Coupes de jardinage / Éclaircie jardinatoire</t>
  </si>
  <si>
    <t>Éclaircie jardinatoire</t>
  </si>
  <si>
    <t>Coupe de jardinage par pieds d'arbres ou pieds d'arbres et groupes d'arbres</t>
  </si>
  <si>
    <t>Coupe de jardinage par trouées/bandes</t>
  </si>
  <si>
    <t>B/T avec récolte matrice résiduelle</t>
  </si>
  <si>
    <t>B/T sans récolte matrice résiduelle</t>
  </si>
  <si>
    <t>CJB</t>
  </si>
  <si>
    <t>CJT</t>
  </si>
  <si>
    <t>Coupes progressives</t>
  </si>
  <si>
    <t>Coupe progressive régulière uniforme (préparatoire/ensemencement/secondaire)</t>
  </si>
  <si>
    <t>CPR_BA</t>
  </si>
  <si>
    <t>CPR_T</t>
  </si>
  <si>
    <t>final</t>
  </si>
  <si>
    <t>Coupe progressive irrégulière à couvert permanent uniforme</t>
  </si>
  <si>
    <t>Coupe progressive irrégulière à couvert permanent bande</t>
  </si>
  <si>
    <t>Coupe progressive irrégulière à régénération lente (préparatoire/ensemencement/secondaire/multiphase)</t>
  </si>
  <si>
    <t>Coupe progressive irrégulière à régénération lente (finale/trouées agrandies)</t>
  </si>
  <si>
    <t>Coupes totales</t>
  </si>
  <si>
    <t>Coupe avec protection de la régénération et des sols</t>
  </si>
  <si>
    <t>CPRS_BA</t>
  </si>
  <si>
    <t>CPRS_DA</t>
  </si>
  <si>
    <t>CPRS_PA</t>
  </si>
  <si>
    <t>CPRS_T</t>
  </si>
  <si>
    <t>Coupe avec protection de la haute régénération et des sols</t>
  </si>
  <si>
    <t>Coupe avec protection des petites tiges marchandes</t>
  </si>
  <si>
    <t>CPPTM_DIS</t>
  </si>
  <si>
    <t>CPPTM_U</t>
  </si>
  <si>
    <t>Coupe totale sans protection</t>
  </si>
  <si>
    <t xml:space="preserve">Coupe de récupération </t>
  </si>
  <si>
    <t>Coupe avec réserve de semenciers</t>
  </si>
  <si>
    <t>Coupe de succession</t>
  </si>
  <si>
    <t>POURCENTAGE D'INVESTISSEMENT</t>
  </si>
  <si>
    <t>NOTE:</t>
  </si>
  <si>
    <t xml:space="preserve">  (1) Les traitements sylvicoles admissibles au programme sont les coupes partielles dont la récolte des tiges marchandes n’excède pas 50 % de la surface terrière totale initiale.</t>
  </si>
  <si>
    <t xml:space="preserve">  (2) La coupe d'assainissement sera financé dans le cadre des plans de récupération</t>
  </si>
  <si>
    <t>EJ_P-CLAS</t>
  </si>
  <si>
    <t>EJ_PG-CLAS</t>
  </si>
  <si>
    <t>CPI_RL-MUL</t>
  </si>
  <si>
    <t>CPI_TA</t>
  </si>
  <si>
    <t>CTSP_BA</t>
  </si>
  <si>
    <t>CTSP_DA</t>
  </si>
  <si>
    <t>CTSP_PA</t>
  </si>
  <si>
    <t>CTSP_T</t>
  </si>
  <si>
    <t>EC_MIXTE-BAS</t>
  </si>
  <si>
    <t>EC_MIXTE-HAUT</t>
  </si>
  <si>
    <t>EC_MIXTE-NEUTRE</t>
  </si>
  <si>
    <t>EC_SEL-BAS</t>
  </si>
  <si>
    <t>EC_SEL-HAUT</t>
  </si>
  <si>
    <t>EC_SEL-NEUTRE</t>
  </si>
  <si>
    <t>EJ_P-INI</t>
  </si>
  <si>
    <t>EJ_PG-INI</t>
  </si>
  <si>
    <t>CJP-AM</t>
  </si>
  <si>
    <t>CJP-HQ</t>
  </si>
  <si>
    <t>CJP-QM</t>
  </si>
  <si>
    <t>CJPG-AM</t>
  </si>
  <si>
    <t>CJPG-HQ</t>
  </si>
  <si>
    <t>CJPG-QM</t>
  </si>
  <si>
    <t>CJB-EMR</t>
  </si>
  <si>
    <t>CJT-EMR</t>
  </si>
  <si>
    <t>CPR_U-ENS</t>
  </si>
  <si>
    <t>CPR_U-PR</t>
  </si>
  <si>
    <t>CPR_U-SEC</t>
  </si>
  <si>
    <t>CPR_U-F_BOUQ</t>
  </si>
  <si>
    <t>CPR_U-F_ILOT</t>
  </si>
  <si>
    <t>CPR_U-F_SLEG</t>
  </si>
  <si>
    <t>CPR_U-F_TIGE</t>
  </si>
  <si>
    <t>CPI_CP-ENS_U</t>
  </si>
  <si>
    <t>CPI_CP-SEC_U</t>
  </si>
  <si>
    <t>CPI_CP-ENS_B</t>
  </si>
  <si>
    <t>CPI_CP-SEC_B</t>
  </si>
  <si>
    <t>CPI_RL-2I_ENS</t>
  </si>
  <si>
    <t>CPI_RL-2I_SEC</t>
  </si>
  <si>
    <t>CPI_RL-3I_ENS</t>
  </si>
  <si>
    <t>CPI_RL-3I_SEC</t>
  </si>
  <si>
    <t>CPI_RL-PR</t>
  </si>
  <si>
    <t>CPI_RL-2I_F</t>
  </si>
  <si>
    <t>CPI_RL-3I_F</t>
  </si>
  <si>
    <t>CPRS_U-BOUQ</t>
  </si>
  <si>
    <t>CPRS_U-ILOT</t>
  </si>
  <si>
    <t>CPRS_U-SLEG</t>
  </si>
  <si>
    <t>CPRS_U-TIGE</t>
  </si>
  <si>
    <t>CPHRS-BOUQ</t>
  </si>
  <si>
    <t>CPHRS-ILOT</t>
  </si>
  <si>
    <t>CPHRS-SLEG</t>
  </si>
  <si>
    <t>CPHRS-TIGE</t>
  </si>
  <si>
    <t>CPPTM_DIS-BOUQ</t>
  </si>
  <si>
    <t>CPPTM_DIS-ILOT</t>
  </si>
  <si>
    <t>CTSP_U-BOUQ</t>
  </si>
  <si>
    <t>CTSP_U-ILOT</t>
  </si>
  <si>
    <t>CTSP_U-SLEG</t>
  </si>
  <si>
    <t>CTSP_U-TIGE</t>
  </si>
  <si>
    <t>RECUP_CHABLIS-PART</t>
  </si>
  <si>
    <t>RECUP_CHABLIS-TOT</t>
  </si>
  <si>
    <t>RECUP_FEU-PART</t>
  </si>
  <si>
    <t>RECUP_FEU-TOT</t>
  </si>
  <si>
    <t>RECUP_INSECT-PART</t>
  </si>
  <si>
    <t>RECUP_INSECT-TOT</t>
  </si>
  <si>
    <t>RECUP_MALADIE-PART</t>
  </si>
  <si>
    <t>RECUP_MALADIE-TOT</t>
  </si>
  <si>
    <t>CRS-BOUQ</t>
  </si>
  <si>
    <t>CRS-ILOT</t>
  </si>
  <si>
    <t>CRS-SLEG</t>
  </si>
  <si>
    <t>CRS-TIGE</t>
  </si>
  <si>
    <t>CS-BOUQ</t>
  </si>
  <si>
    <t>CS-ILOT</t>
  </si>
  <si>
    <t>CS-SLEG</t>
  </si>
  <si>
    <t>CS-TIGE</t>
  </si>
  <si>
    <t>Autres</t>
  </si>
  <si>
    <t>Récolte partielle dans une lisière boisée</t>
  </si>
  <si>
    <t>RPLB_1500</t>
  </si>
  <si>
    <t>RPLB_500</t>
  </si>
  <si>
    <t>RPLB_700</t>
  </si>
  <si>
    <t>MONTANT TOTAL ADMISSIBLE</t>
  </si>
  <si>
    <t>Suivi de qualité</t>
  </si>
  <si>
    <t>Récolte de la matière ligneuse (biomasse, récupération)</t>
  </si>
  <si>
    <t>RML</t>
  </si>
  <si>
    <t>Coupe progressive régulière uniforme (finale)</t>
  </si>
  <si>
    <t>Coupe progressive régulière bandes / trouées</t>
  </si>
  <si>
    <t>Largeur des sentiers de débardage</t>
  </si>
  <si>
    <t>Largeur des bandes résiduelles non traitées</t>
  </si>
  <si>
    <t>COUPE DE JARDINAGE PAR TROUÉES
COUPE DE JARDINAGE PAR BANDES</t>
  </si>
  <si>
    <t>ÉCLAIRCIE COMMERCIALE
(peuplement SEPM, Feuillus intolérants et mixte à tendance résineuse)</t>
  </si>
  <si>
    <t>INTRANTS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</si>
  <si>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/ha</t>
    </r>
  </si>
  <si>
    <t xml:space="preserve">Volume par tige moyen du peuplement 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</si>
  <si>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/tige</t>
    </r>
  </si>
  <si>
    <t>Annexe à la prescription sylvicole                                           Détermination de la valeur d'aide financière
2014-2015</t>
  </si>
  <si>
    <r>
      <t>$/m</t>
    </r>
    <r>
      <rPr>
        <vertAlign val="superscript"/>
        <sz val="10"/>
        <rFont val="Arial"/>
        <family val="2"/>
      </rPr>
      <t>3</t>
    </r>
  </si>
  <si>
    <t>RÉDUCTIONS</t>
  </si>
  <si>
    <t>Ratio des trouées sous forme de CPRS</t>
  </si>
  <si>
    <t>MAJORATIONS</t>
  </si>
  <si>
    <t>Rubannage de sentiers de débardage</t>
  </si>
  <si>
    <t>Pourcentage de majoration</t>
  </si>
  <si>
    <t>Hébergement exécution</t>
  </si>
  <si>
    <t>TAUX DE BASE</t>
  </si>
  <si>
    <t>EXÉCUTION</t>
  </si>
  <si>
    <t>VÉRIFICATION</t>
  </si>
  <si>
    <t>Hébergement vérification</t>
  </si>
  <si>
    <t>SOUS-TOTAL EXÉCUTION</t>
  </si>
  <si>
    <t>MONTANT EXÉCUTION ADMISSIBLE</t>
  </si>
  <si>
    <t>MONTANT VÉRIFICATION ADMISSIBLE</t>
  </si>
  <si>
    <t>Classe</t>
  </si>
  <si>
    <t>Total</t>
  </si>
  <si>
    <t>Superficie 
(ha)</t>
  </si>
  <si>
    <t>Superficie corrigée (ha)</t>
  </si>
  <si>
    <t>Volume moyen des tiges à récolter</t>
  </si>
  <si>
    <t>TAUX DE BASE FIXE</t>
  </si>
  <si>
    <t>Investissement</t>
  </si>
  <si>
    <t>Hebexe</t>
  </si>
  <si>
    <t>Hebverif</t>
  </si>
  <si>
    <t>Sup</t>
  </si>
  <si>
    <t>Qualite</t>
  </si>
  <si>
    <t>InvAT</t>
  </si>
  <si>
    <t>Rapport</t>
  </si>
  <si>
    <t>Manuel</t>
  </si>
  <si>
    <t>Opérations manuelles</t>
  </si>
  <si>
    <t>ÉCLAIRCIE COMMERCIALE
(peuplement feuillus tolérants, autres résineux et mixte à tendance feuillue)</t>
  </si>
  <si>
    <t>Patron avec éclaircie dans la matrice résiduelle</t>
  </si>
  <si>
    <t>COUPE PROGRESSIVE RÉGULIÈRE UNIFORME
COUPE PROGRESSIVE IRRÉGULIÈRE À COUVERT PERMANENT UNIFORME
COUPE PROGRESSIVE IRRÉGULIÈRE À RÉGÉNÉRATION LENTE
(Peuplements SEPM, de feuillus intolérants et mixtes à tendance résineuse)</t>
  </si>
  <si>
    <t>COUPE PROGRESSIVE RÉGULIÈRE PAR BANDES OU TROUÉES
COUPE PROGRESSIVE IRRÉGULIÈRE À COUVERT PERMANENT PAR BANDES
COUPE PROGRESSIVE RÉGULIÈRE UNIFORME
COUPE PROGRESSIVE IRRÉGULIÈRE À COUVERT PERMANENT UNIFORME
COUPE PROGRESSIVE IRRÉGULIÈRE À RÉGÉNÉRATION LENTE</t>
  </si>
  <si>
    <t>Patrons d'intervention avec aide financière</t>
  </si>
  <si>
    <t>Bandes avec éclaircie dans la matrice résiduelle</t>
  </si>
  <si>
    <t>Patrons d'intervention sans aide financière</t>
  </si>
  <si>
    <t>Bandes sans éclaircie dans la matrice résiduelle</t>
  </si>
  <si>
    <t>Trouées avec élaircie dans la matrice résiduelle</t>
  </si>
  <si>
    <t>Trouées sans élaircie dans la matrice résiduelle</t>
  </si>
  <si>
    <t>Sélectif</t>
  </si>
  <si>
    <t>Systématique</t>
  </si>
  <si>
    <t>Mixte</t>
  </si>
  <si>
    <t>Trouées</t>
  </si>
  <si>
    <t>Bandes</t>
  </si>
  <si>
    <t>Largeur des bandes récoltées partiellement</t>
  </si>
  <si>
    <t>%</t>
  </si>
  <si>
    <t>Classe numérique</t>
  </si>
  <si>
    <t>NUMÉRO DE LA PRESCRIPTION</t>
  </si>
  <si>
    <t xml:space="preserve">U.G.: </t>
  </si>
  <si>
    <t xml:space="preserve">SECTEUR D'INTERVENTION </t>
  </si>
  <si>
    <t>UNITÉ DE COMPILATION</t>
  </si>
  <si>
    <t>SECTION RÉSERVÉE AU SUIVI DES CONTRATS</t>
  </si>
  <si>
    <t xml:space="preserve">Numéro du contrat: </t>
  </si>
  <si>
    <t xml:space="preserve">Numéro du projet: </t>
  </si>
  <si>
    <t xml:space="preserve">UAF: </t>
  </si>
  <si>
    <t xml:space="preserve">MRC: </t>
  </si>
  <si>
    <t xml:space="preserve">Code de traitement DICA: </t>
  </si>
  <si>
    <t xml:space="preserve">Code de traitement RATF: </t>
  </si>
  <si>
    <t xml:space="preserve">Type d'attribution: </t>
  </si>
  <si>
    <t xml:space="preserve">Nom de l'entrepreneur: </t>
  </si>
  <si>
    <t xml:space="preserve">Numéro de fournisseur: </t>
  </si>
  <si>
    <t xml:space="preserve">Date de début: </t>
  </si>
  <si>
    <t xml:space="preserve">Date de fin: </t>
  </si>
  <si>
    <t xml:space="preserve">Commentaires: </t>
  </si>
  <si>
    <t>MAJORATIONS EXÉCUTION</t>
  </si>
  <si>
    <t>MAJORATIONS VÉRIFICATION</t>
  </si>
  <si>
    <t xml:space="preserve">NUMÉRO DE LA PRESCRIPTION: </t>
  </si>
  <si>
    <t>NUMÉRO DE LA PRESCRIPTION:</t>
  </si>
  <si>
    <t>CPR_BA -EMR</t>
  </si>
  <si>
    <t>CPR_T -EMR</t>
  </si>
  <si>
    <t>Volume à prélever (net)</t>
  </si>
  <si>
    <t>BMMB_20140526</t>
  </si>
  <si>
    <t>ZONE_TARIF</t>
  </si>
  <si>
    <t>(oui/non)</t>
  </si>
  <si>
    <t>FORMULE (peuplement feuillus tolérants, autres résineux et mixte à tendance feuillue)</t>
  </si>
  <si>
    <t>FORMULE (peuplement SEPM, Feuillus intolérants et mixte à tendance résineuse)</t>
  </si>
  <si>
    <t>n/a</t>
  </si>
  <si>
    <t>CPR_U-EMR</t>
  </si>
  <si>
    <t>CPI_U-EMR</t>
  </si>
  <si>
    <t xml:space="preserve">B/T avec récolte matrice résiduelle
</t>
  </si>
  <si>
    <t>Volet 2: Transport et mesurage optimisés des bois feuillus en longueur</t>
  </si>
  <si>
    <t>Admissibilité</t>
  </si>
  <si>
    <t>Admissible à l'aide pour les coupes partielles</t>
  </si>
  <si>
    <t>Superficie admissible</t>
  </si>
  <si>
    <t>(ha)</t>
  </si>
  <si>
    <t>Zone de tarification</t>
  </si>
  <si>
    <t>(km)</t>
  </si>
  <si>
    <t>Distance (centre zone tarification à l'usine)</t>
  </si>
  <si>
    <r>
      <t>Bois livré à une autre destination</t>
    </r>
    <r>
      <rPr>
        <sz val="10"/>
        <rFont val="Arial"/>
        <family val="2"/>
      </rPr>
      <t xml:space="preserve"> </t>
    </r>
    <r>
      <rPr>
        <i/>
        <sz val="10"/>
        <color indexed="55"/>
        <rFont val="Arial"/>
        <family val="2"/>
      </rPr>
      <t>(pièce justificative requise)</t>
    </r>
  </si>
  <si>
    <t>% de récupération des bois de trituration</t>
  </si>
  <si>
    <t>Aide selon la zone de tarification</t>
  </si>
  <si>
    <t>Proportion des bois de trituration</t>
  </si>
  <si>
    <t>Peuplements feuillus ou mixtes à dominance feuillue</t>
  </si>
  <si>
    <t>Destination(s)</t>
  </si>
  <si>
    <t>Proportion des bois transportés</t>
  </si>
  <si>
    <t>CORRECTION PENTE</t>
  </si>
  <si>
    <t>Taux ($/ha)</t>
  </si>
  <si>
    <t>Écart
($/ha)</t>
  </si>
  <si>
    <t>SUPERFICIE BRUTE</t>
  </si>
  <si>
    <t>Ajustement pente</t>
  </si>
  <si>
    <t>Fusionner ces cellules pour avoir un seul total pour les majorations exécution</t>
  </si>
  <si>
    <r>
      <t xml:space="preserve">AJUSTEMENT </t>
    </r>
    <r>
      <rPr>
        <b/>
        <strike/>
        <sz val="16"/>
        <rFont val="Arial"/>
        <family val="2"/>
      </rPr>
      <t>DE LA SUPERFICIE</t>
    </r>
    <r>
      <rPr>
        <b/>
        <sz val="16"/>
        <rFont val="Arial"/>
        <family val="2"/>
      </rPr>
      <t xml:space="preserve"> </t>
    </r>
    <r>
      <rPr>
        <b/>
        <sz val="16"/>
        <color indexed="51"/>
        <rFont val="Arial"/>
        <family val="2"/>
      </rPr>
      <t>DU TAUX</t>
    </r>
    <r>
      <rPr>
        <b/>
        <sz val="16"/>
        <rFont val="Arial"/>
        <family val="2"/>
      </rPr>
      <t xml:space="preserve"> EN FONCTION DE LA PENTE</t>
    </r>
  </si>
  <si>
    <t>AJUSTEMENT DU TAUX EN FONCTION DE LA PENTE</t>
  </si>
  <si>
    <t>SUPERFICIE</t>
  </si>
  <si>
    <t>Annexe à la prescription sylvicole                                           Détermination de la valeur d'aide financière
2015-2016</t>
  </si>
  <si>
    <t>Avec récolte matrice résiduelle</t>
  </si>
  <si>
    <t>AIDEHA 2015-2016</t>
  </si>
  <si>
    <t>Transport en longueur</t>
  </si>
  <si>
    <t>Mesurage optimisé des bois feuillus</t>
  </si>
  <si>
    <t>Proportion des bois mesurés</t>
  </si>
  <si>
    <t>Ajustement moyen pondéré ($/ha)</t>
  </si>
  <si>
    <t>TRAITEMENTS COMMERCIAUX</t>
  </si>
  <si>
    <t>ÉCLAIRCIE COMMERCIALE</t>
  </si>
  <si>
    <r>
      <t>ÉCLAIRCIE JARDINATOIRE
COUPE DE JARDINAGE PIED D'ARBRE OU PIED D'ARBRE ET GROUPES D'ARBRES</t>
    </r>
    <r>
      <rPr>
        <b/>
        <sz val="8"/>
        <rFont val="Arial"/>
        <family val="2"/>
      </rPr>
      <t xml:space="preserve">
</t>
    </r>
    <r>
      <rPr>
        <b/>
        <sz val="9"/>
        <rFont val="Arial"/>
        <family val="2"/>
      </rPr>
      <t>COUPE PROGRESSIVE RÉGULIÈRE UNIFORME
COUPE PROGRESSIVE IRRÉGULIÈRE À COUVERT PERMANENT UNIFORME
COUPE PROGRESSIVE IRRÉGULIÈRE À RÉGÉNÉRATION LENTE 
(Peuplements feuillus tolérants, autres résineux et mixtes à dominance feuillue)</t>
    </r>
  </si>
  <si>
    <t>Aide supplémentaire à l’aménagement des forêts feuillues et mixtes</t>
  </si>
  <si>
    <t>Volet 1
Volet 2</t>
  </si>
  <si>
    <t>Volet 1: Mesure d'accès au marché</t>
  </si>
  <si>
    <t>Coupes partielles</t>
  </si>
  <si>
    <r>
      <t>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Projet de mesurage</t>
    </r>
  </si>
  <si>
    <t>Volume déclaré</t>
  </si>
  <si>
    <t>UAF</t>
  </si>
  <si>
    <t>BMMB_20150423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</si>
</sst>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0.0%"/>
    <numFmt numFmtId="165" formatCode="#,##0.00\ &quot;$&quot;"/>
    <numFmt numFmtId="166" formatCode="0.000"/>
    <numFmt numFmtId="167" formatCode="_ * #,##0_)\ _$_ ;_ * \(#,##0\)\ _$_ ;_ * &quot;-&quot;??_)\ _$_ ;_ @_ "/>
    <numFmt numFmtId="168" formatCode="#,##0.00_);\(#,##0.00\)"/>
    <numFmt numFmtId="169" formatCode="[Red]\(#,##0\ &quot;$&quot;\)"/>
  </numFmts>
  <fonts count="32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sz val="16"/>
      <color indexed="9"/>
      <name val="Arial"/>
      <family val="2"/>
    </font>
    <font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1"/>
      <name val="Arial"/>
      <family val="2"/>
    </font>
    <font>
      <i/>
      <sz val="10"/>
      <color indexed="55"/>
      <name val="Arial"/>
      <family val="2"/>
    </font>
    <font>
      <u/>
      <sz val="10"/>
      <name val="Arial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trike/>
      <sz val="16"/>
      <name val="Arial"/>
      <family val="2"/>
    </font>
    <font>
      <strike/>
      <sz val="10"/>
      <color indexed="10"/>
      <name val="Arial"/>
      <family val="2"/>
    </font>
    <font>
      <b/>
      <sz val="16"/>
      <color indexed="51"/>
      <name val="Arial"/>
      <family val="2"/>
    </font>
    <font>
      <b/>
      <sz val="11"/>
      <name val="Arial"/>
      <family val="2"/>
    </font>
    <font>
      <i/>
      <sz val="12"/>
      <color indexed="81"/>
      <name val="Tahoma"/>
      <family val="2"/>
    </font>
    <font>
      <sz val="12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0">
    <xf numFmtId="0" fontId="0" fillId="0" borderId="0" xfId="0"/>
    <xf numFmtId="0" fontId="0" fillId="0" borderId="0" xfId="0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horizontal="left" vertical="center"/>
    </xf>
    <xf numFmtId="4" fontId="0" fillId="0" borderId="0" xfId="0" applyNumberFormat="1" applyAlignment="1" applyProtection="1">
      <alignment vertical="center"/>
    </xf>
    <xf numFmtId="4" fontId="0" fillId="0" borderId="0" xfId="0" applyNumberFormat="1" applyBorder="1" applyAlignment="1" applyProtection="1">
      <alignment horizontal="center" vertical="center"/>
    </xf>
    <xf numFmtId="165" fontId="0" fillId="0" borderId="0" xfId="0" applyNumberFormat="1" applyAlignment="1" applyProtection="1">
      <alignment vertical="center"/>
    </xf>
    <xf numFmtId="2" fontId="0" fillId="0" borderId="0" xfId="0" applyNumberFormat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0" xfId="0" applyFont="1" applyAlignment="1" applyProtection="1">
      <alignment horizontal="right" vertical="center"/>
    </xf>
    <xf numFmtId="4" fontId="0" fillId="0" borderId="0" xfId="0" applyNumberFormat="1" applyBorder="1" applyAlignment="1" applyProtection="1">
      <alignment vertical="center"/>
    </xf>
    <xf numFmtId="0" fontId="0" fillId="0" borderId="0" xfId="0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/>
    </xf>
    <xf numFmtId="0" fontId="7" fillId="0" borderId="0" xfId="0" applyFont="1" applyFill="1" applyAlignment="1" applyProtection="1">
      <alignment horizontal="center" vertical="center"/>
    </xf>
    <xf numFmtId="0" fontId="7" fillId="0" borderId="0" xfId="0" applyFont="1" applyFill="1" applyAlignment="1" applyProtection="1">
      <alignment horizontal="left" vertical="center" wrapText="1"/>
    </xf>
    <xf numFmtId="0" fontId="0" fillId="0" borderId="0" xfId="0" applyFill="1" applyAlignment="1" applyProtection="1">
      <alignment vertical="center"/>
    </xf>
    <xf numFmtId="169" fontId="11" fillId="0" borderId="0" xfId="0" applyNumberFormat="1" applyFont="1" applyBorder="1" applyProtection="1"/>
    <xf numFmtId="164" fontId="0" fillId="0" borderId="0" xfId="3" applyNumberFormat="1" applyFont="1" applyBorder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6" fillId="0" borderId="6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6" fillId="0" borderId="7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0" fillId="0" borderId="0" xfId="0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4" fontId="1" fillId="0" borderId="0" xfId="3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vertical="center"/>
    </xf>
    <xf numFmtId="164" fontId="1" fillId="0" borderId="0" xfId="3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1" fontId="1" fillId="0" borderId="11" xfId="3" applyNumberFormat="1" applyFill="1" applyBorder="1" applyAlignment="1" applyProtection="1">
      <alignment horizontal="center" vertical="center"/>
    </xf>
    <xf numFmtId="1" fontId="6" fillId="0" borderId="0" xfId="0" applyNumberFormat="1" applyFont="1" applyBorder="1" applyAlignment="1" applyProtection="1">
      <alignment horizontal="center" vertical="center"/>
    </xf>
    <xf numFmtId="164" fontId="1" fillId="0" borderId="2" xfId="3" applyNumberFormat="1" applyFont="1" applyFill="1" applyBorder="1" applyAlignment="1" applyProtection="1">
      <alignment horizontal="center" vertical="center"/>
      <protection locked="0"/>
    </xf>
    <xf numFmtId="4" fontId="0" fillId="0" borderId="0" xfId="0" applyNumberFormat="1" applyFill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12" fillId="2" borderId="0" xfId="0" applyFont="1" applyFill="1" applyBorder="1" applyAlignment="1" applyProtection="1">
      <alignment vertical="center"/>
    </xf>
    <xf numFmtId="4" fontId="0" fillId="2" borderId="0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12" fillId="2" borderId="0" xfId="0" applyFont="1" applyFill="1" applyAlignment="1" applyProtection="1">
      <alignment vertical="center"/>
    </xf>
    <xf numFmtId="43" fontId="0" fillId="0" borderId="0" xfId="1" applyFont="1" applyBorder="1" applyAlignment="1" applyProtection="1">
      <alignment vertical="center"/>
    </xf>
    <xf numFmtId="4" fontId="2" fillId="0" borderId="0" xfId="0" applyNumberFormat="1" applyFont="1" applyFill="1" applyBorder="1" applyAlignment="1" applyProtection="1">
      <alignment horizontal="right" vertical="center"/>
    </xf>
    <xf numFmtId="2" fontId="1" fillId="0" borderId="0" xfId="3" applyNumberFormat="1" applyFill="1" applyBorder="1" applyAlignment="1" applyProtection="1">
      <alignment horizontal="right" vertical="center"/>
    </xf>
    <xf numFmtId="0" fontId="0" fillId="0" borderId="12" xfId="0" applyFill="1" applyBorder="1" applyAlignment="1" applyProtection="1">
      <alignment vertical="center"/>
    </xf>
    <xf numFmtId="0" fontId="2" fillId="0" borderId="13" xfId="0" applyFont="1" applyFill="1" applyBorder="1" applyAlignment="1" applyProtection="1">
      <alignment vertical="center"/>
    </xf>
    <xf numFmtId="2" fontId="2" fillId="0" borderId="9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2" fontId="6" fillId="0" borderId="0" xfId="0" applyNumberFormat="1" applyFont="1" applyBorder="1" applyProtection="1"/>
    <xf numFmtId="0" fontId="6" fillId="0" borderId="0" xfId="0" applyFont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horizontal="center" vertical="center"/>
    </xf>
    <xf numFmtId="4" fontId="12" fillId="2" borderId="0" xfId="0" applyNumberFormat="1" applyFont="1" applyFill="1" applyBorder="1" applyAlignment="1" applyProtection="1">
      <alignment vertical="center"/>
    </xf>
    <xf numFmtId="4" fontId="0" fillId="2" borderId="0" xfId="0" applyNumberFormat="1" applyFill="1" applyBorder="1" applyAlignment="1" applyProtection="1">
      <alignment vertical="center"/>
    </xf>
    <xf numFmtId="4" fontId="0" fillId="2" borderId="0" xfId="0" applyNumberFormat="1" applyFill="1" applyBorder="1" applyAlignment="1" applyProtection="1">
      <alignment horizontal="right" vertical="center"/>
    </xf>
    <xf numFmtId="4" fontId="0" fillId="2" borderId="0" xfId="0" applyNumberFormat="1" applyFill="1" applyAlignment="1" applyProtection="1">
      <alignment vertical="center"/>
    </xf>
    <xf numFmtId="164" fontId="0" fillId="0" borderId="0" xfId="3" applyNumberFormat="1" applyFont="1"/>
    <xf numFmtId="9" fontId="0" fillId="0" borderId="0" xfId="3" applyNumberFormat="1" applyFont="1"/>
    <xf numFmtId="9" fontId="0" fillId="0" borderId="0" xfId="0" applyNumberFormat="1" applyAlignment="1" applyProtection="1">
      <alignment vertical="center"/>
    </xf>
    <xf numFmtId="9" fontId="15" fillId="0" borderId="0" xfId="3" applyFont="1" applyAlignment="1" applyProtection="1">
      <alignment vertical="center"/>
    </xf>
    <xf numFmtId="164" fontId="15" fillId="0" borderId="0" xfId="3" applyNumberFormat="1" applyFont="1" applyAlignment="1" applyProtection="1">
      <alignment vertical="center"/>
    </xf>
    <xf numFmtId="2" fontId="0" fillId="2" borderId="2" xfId="0" applyNumberFormat="1" applyFill="1" applyBorder="1" applyAlignment="1" applyProtection="1">
      <alignment horizontal="right" vertical="center"/>
    </xf>
    <xf numFmtId="2" fontId="1" fillId="2" borderId="2" xfId="0" applyNumberFormat="1" applyFont="1" applyFill="1" applyBorder="1" applyAlignment="1" applyProtection="1">
      <alignment horizontal="right" vertical="center"/>
    </xf>
    <xf numFmtId="2" fontId="6" fillId="2" borderId="2" xfId="0" applyNumberFormat="1" applyFont="1" applyFill="1" applyBorder="1" applyProtection="1"/>
    <xf numFmtId="2" fontId="6" fillId="2" borderId="14" xfId="0" applyNumberFormat="1" applyFont="1" applyFill="1" applyBorder="1" applyProtection="1"/>
    <xf numFmtId="2" fontId="6" fillId="2" borderId="15" xfId="0" applyNumberFormat="1" applyFont="1" applyFill="1" applyBorder="1" applyProtection="1"/>
    <xf numFmtId="1" fontId="6" fillId="2" borderId="2" xfId="0" applyNumberFormat="1" applyFont="1" applyFill="1" applyBorder="1" applyAlignment="1" applyProtection="1">
      <alignment horizontal="right" vertical="center"/>
    </xf>
    <xf numFmtId="2" fontId="0" fillId="2" borderId="14" xfId="0" applyNumberFormat="1" applyFill="1" applyBorder="1" applyAlignment="1" applyProtection="1">
      <alignment vertical="center"/>
    </xf>
    <xf numFmtId="2" fontId="0" fillId="2" borderId="16" xfId="0" applyNumberFormat="1" applyFill="1" applyBorder="1" applyAlignment="1" applyProtection="1">
      <alignment vertical="center"/>
    </xf>
    <xf numFmtId="2" fontId="2" fillId="2" borderId="15" xfId="0" applyNumberFormat="1" applyFont="1" applyFill="1" applyBorder="1" applyAlignment="1" applyProtection="1">
      <alignment vertical="center"/>
    </xf>
    <xf numFmtId="168" fontId="0" fillId="2" borderId="16" xfId="2" applyNumberFormat="1" applyFont="1" applyFill="1" applyBorder="1" applyAlignment="1" applyProtection="1">
      <alignment horizontal="right" vertical="center"/>
    </xf>
    <xf numFmtId="168" fontId="2" fillId="2" borderId="15" xfId="2" applyNumberFormat="1" applyFont="1" applyFill="1" applyBorder="1" applyAlignment="1" applyProtection="1">
      <alignment horizontal="right" vertical="center"/>
    </xf>
    <xf numFmtId="9" fontId="0" fillId="0" borderId="0" xfId="0" applyNumberFormat="1"/>
    <xf numFmtId="43" fontId="1" fillId="0" borderId="0" xfId="1" applyBorder="1" applyAlignment="1" applyProtection="1">
      <alignment vertical="center"/>
    </xf>
    <xf numFmtId="168" fontId="1" fillId="2" borderId="16" xfId="2" applyNumberFormat="1" applyFill="1" applyBorder="1" applyAlignment="1" applyProtection="1">
      <alignment horizontal="right" vertical="center"/>
    </xf>
    <xf numFmtId="2" fontId="6" fillId="0" borderId="0" xfId="0" applyNumberFormat="1" applyFont="1" applyFill="1" applyBorder="1" applyProtection="1"/>
    <xf numFmtId="168" fontId="2" fillId="0" borderId="0" xfId="2" applyNumberFormat="1" applyFont="1" applyFill="1" applyBorder="1" applyAlignment="1" applyProtection="1">
      <alignment horizontal="right" vertical="center"/>
    </xf>
    <xf numFmtId="0" fontId="5" fillId="0" borderId="0" xfId="0" applyFont="1" applyFill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/>
    </xf>
    <xf numFmtId="9" fontId="0" fillId="2" borderId="14" xfId="3" applyFont="1" applyFill="1" applyBorder="1" applyAlignment="1" applyProtection="1">
      <alignment horizontal="right" vertical="center"/>
    </xf>
    <xf numFmtId="2" fontId="0" fillId="2" borderId="15" xfId="0" applyNumberFormat="1" applyFill="1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4" fontId="0" fillId="0" borderId="0" xfId="0" applyNumberFormat="1" applyAlignment="1" applyProtection="1">
      <alignment horizontal="right" vertical="center"/>
    </xf>
    <xf numFmtId="2" fontId="1" fillId="0" borderId="0" xfId="3" applyNumberFormat="1" applyFont="1" applyFill="1" applyBorder="1" applyAlignment="1" applyProtection="1">
      <alignment horizontal="right" vertical="center"/>
    </xf>
    <xf numFmtId="164" fontId="1" fillId="0" borderId="2" xfId="3" applyNumberFormat="1" applyFont="1" applyFill="1" applyBorder="1" applyAlignment="1" applyProtection="1">
      <alignment horizontal="right" vertical="center"/>
      <protection locked="0"/>
    </xf>
    <xf numFmtId="2" fontId="1" fillId="0" borderId="0" xfId="3" applyNumberFormat="1" applyFont="1" applyFill="1" applyBorder="1" applyAlignment="1" applyProtection="1">
      <alignment vertical="center"/>
    </xf>
    <xf numFmtId="164" fontId="1" fillId="0" borderId="2" xfId="3" applyNumberFormat="1" applyFont="1" applyFill="1" applyBorder="1" applyAlignment="1" applyProtection="1">
      <alignment vertical="center"/>
      <protection locked="0"/>
    </xf>
    <xf numFmtId="3" fontId="0" fillId="0" borderId="14" xfId="0" applyNumberFormat="1" applyFill="1" applyBorder="1" applyAlignment="1" applyProtection="1">
      <alignment vertical="center"/>
      <protection locked="0"/>
    </xf>
    <xf numFmtId="3" fontId="0" fillId="0" borderId="17" xfId="0" applyNumberFormat="1" applyFill="1" applyBorder="1" applyAlignment="1" applyProtection="1">
      <alignment vertical="center"/>
      <protection locked="0"/>
    </xf>
    <xf numFmtId="3" fontId="0" fillId="0" borderId="16" xfId="0" applyNumberFormat="1" applyFill="1" applyBorder="1" applyAlignment="1" applyProtection="1">
      <alignment vertical="center"/>
      <protection locked="0"/>
    </xf>
    <xf numFmtId="3" fontId="0" fillId="0" borderId="15" xfId="0" applyNumberFormat="1" applyFill="1" applyBorder="1" applyAlignment="1" applyProtection="1">
      <alignment vertical="center"/>
      <protection locked="0"/>
    </xf>
    <xf numFmtId="1" fontId="1" fillId="0" borderId="11" xfId="3" applyNumberFormat="1" applyFill="1" applyBorder="1" applyAlignment="1" applyProtection="1">
      <alignment vertical="center"/>
    </xf>
    <xf numFmtId="4" fontId="0" fillId="0" borderId="0" xfId="0" applyNumberFormat="1" applyFill="1" applyAlignment="1" applyProtection="1">
      <alignment vertical="center"/>
    </xf>
    <xf numFmtId="4" fontId="0" fillId="0" borderId="0" xfId="0" applyNumberFormat="1" applyFill="1" applyBorder="1" applyAlignment="1" applyProtection="1">
      <alignment vertical="center"/>
    </xf>
    <xf numFmtId="4" fontId="2" fillId="0" borderId="0" xfId="0" applyNumberFormat="1" applyFont="1" applyFill="1" applyBorder="1" applyAlignment="1" applyProtection="1">
      <alignment vertical="center"/>
    </xf>
    <xf numFmtId="168" fontId="1" fillId="2" borderId="16" xfId="2" applyNumberFormat="1" applyFill="1" applyBorder="1" applyAlignment="1" applyProtection="1">
      <alignment vertical="center"/>
    </xf>
    <xf numFmtId="168" fontId="2" fillId="2" borderId="15" xfId="2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right" vertical="center"/>
    </xf>
    <xf numFmtId="3" fontId="0" fillId="0" borderId="14" xfId="0" applyNumberFormat="1" applyFill="1" applyBorder="1" applyAlignment="1" applyProtection="1">
      <alignment horizontal="right" vertical="center"/>
      <protection locked="0"/>
    </xf>
    <xf numFmtId="3" fontId="0" fillId="0" borderId="17" xfId="0" applyNumberFormat="1" applyFill="1" applyBorder="1" applyAlignment="1" applyProtection="1">
      <alignment horizontal="right" vertical="center"/>
      <protection locked="0"/>
    </xf>
    <xf numFmtId="3" fontId="0" fillId="0" borderId="16" xfId="0" applyNumberFormat="1" applyFill="1" applyBorder="1" applyAlignment="1" applyProtection="1">
      <alignment horizontal="right" vertical="center"/>
      <protection locked="0"/>
    </xf>
    <xf numFmtId="3" fontId="0" fillId="0" borderId="15" xfId="0" applyNumberFormat="1" applyFill="1" applyBorder="1" applyAlignment="1" applyProtection="1">
      <alignment horizontal="right" vertical="center"/>
      <protection locked="0"/>
    </xf>
    <xf numFmtId="1" fontId="1" fillId="0" borderId="11" xfId="3" applyNumberFormat="1" applyFill="1" applyBorder="1" applyAlignment="1" applyProtection="1">
      <alignment horizontal="right" vertical="center"/>
    </xf>
    <xf numFmtId="4" fontId="0" fillId="0" borderId="0" xfId="0" applyNumberFormat="1" applyFill="1" applyAlignment="1" applyProtection="1">
      <alignment horizontal="right" vertical="center"/>
    </xf>
    <xf numFmtId="2" fontId="1" fillId="0" borderId="14" xfId="3" applyNumberFormat="1" applyFill="1" applyBorder="1" applyAlignment="1" applyProtection="1">
      <alignment horizontal="right" vertical="center"/>
      <protection locked="0"/>
    </xf>
    <xf numFmtId="2" fontId="1" fillId="0" borderId="16" xfId="3" applyNumberFormat="1" applyFill="1" applyBorder="1" applyAlignment="1" applyProtection="1">
      <alignment horizontal="right" vertical="center"/>
      <protection locked="0"/>
    </xf>
    <xf numFmtId="2" fontId="1" fillId="0" borderId="15" xfId="3" applyNumberFormat="1" applyFill="1" applyBorder="1" applyAlignment="1" applyProtection="1">
      <alignment horizontal="right" vertical="center"/>
      <protection locked="0"/>
    </xf>
    <xf numFmtId="0" fontId="0" fillId="0" borderId="14" xfId="0" applyFill="1" applyBorder="1" applyAlignment="1" applyProtection="1">
      <alignment vertical="center"/>
      <protection locked="0"/>
    </xf>
    <xf numFmtId="166" fontId="0" fillId="0" borderId="16" xfId="0" applyNumberFormat="1" applyFill="1" applyBorder="1" applyAlignment="1" applyProtection="1">
      <alignment vertical="center"/>
      <protection locked="0"/>
    </xf>
    <xf numFmtId="166" fontId="6" fillId="0" borderId="18" xfId="0" applyNumberFormat="1" applyFont="1" applyFill="1" applyBorder="1" applyAlignment="1" applyProtection="1"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2" fontId="0" fillId="0" borderId="7" xfId="0" applyNumberFormat="1" applyFill="1" applyBorder="1" applyAlignment="1" applyProtection="1">
      <alignment horizontal="center" vertical="center"/>
      <protection locked="0"/>
    </xf>
    <xf numFmtId="2" fontId="0" fillId="0" borderId="7" xfId="0" applyNumberFormat="1" applyBorder="1" applyAlignment="1" applyProtection="1">
      <alignment horizontal="center" vertical="center"/>
      <protection locked="0"/>
    </xf>
    <xf numFmtId="9" fontId="1" fillId="0" borderId="16" xfId="3" applyFill="1" applyBorder="1" applyAlignment="1" applyProtection="1">
      <alignment vertical="center"/>
      <protection locked="0"/>
    </xf>
    <xf numFmtId="0" fontId="0" fillId="0" borderId="14" xfId="0" applyFill="1" applyBorder="1" applyAlignment="1" applyProtection="1">
      <alignment horizontal="right" vertical="center"/>
      <protection locked="0"/>
    </xf>
    <xf numFmtId="166" fontId="0" fillId="0" borderId="16" xfId="0" applyNumberFormat="1" applyFill="1" applyBorder="1" applyAlignment="1" applyProtection="1">
      <alignment horizontal="right" vertical="center"/>
      <protection locked="0"/>
    </xf>
    <xf numFmtId="166" fontId="6" fillId="0" borderId="18" xfId="0" applyNumberFormat="1" applyFont="1" applyFill="1" applyBorder="1" applyAlignment="1" applyProtection="1">
      <alignment horizontal="right"/>
      <protection locked="0"/>
    </xf>
    <xf numFmtId="4" fontId="0" fillId="0" borderId="2" xfId="0" applyNumberFormat="1" applyBorder="1" applyAlignment="1" applyProtection="1">
      <alignment horizontal="right" vertical="center"/>
      <protection locked="0"/>
    </xf>
    <xf numFmtId="9" fontId="1" fillId="0" borderId="0" xfId="3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9" fontId="6" fillId="0" borderId="0" xfId="3" applyFont="1" applyAlignment="1" applyProtection="1">
      <alignment vertical="center"/>
    </xf>
    <xf numFmtId="166" fontId="0" fillId="0" borderId="15" xfId="0" applyNumberFormat="1" applyFill="1" applyBorder="1" applyAlignment="1" applyProtection="1">
      <alignment horizontal="right" vertical="center"/>
      <protection locked="0"/>
    </xf>
    <xf numFmtId="9" fontId="0" fillId="0" borderId="2" xfId="3" applyFont="1" applyFill="1" applyBorder="1" applyAlignment="1" applyProtection="1">
      <alignment horizontal="right" vertical="center"/>
      <protection locked="0"/>
    </xf>
    <xf numFmtId="9" fontId="0" fillId="0" borderId="16" xfId="3" applyFont="1" applyFill="1" applyBorder="1" applyAlignment="1" applyProtection="1">
      <alignment vertical="center"/>
      <protection locked="0"/>
    </xf>
    <xf numFmtId="9" fontId="1" fillId="0" borderId="2" xfId="3" applyFill="1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vertical="center" wrapText="1"/>
    </xf>
    <xf numFmtId="4" fontId="18" fillId="2" borderId="0" xfId="0" applyNumberFormat="1" applyFont="1" applyFill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NumberFormat="1" applyBorder="1" applyAlignment="1" applyProtection="1">
      <alignment vertical="center"/>
    </xf>
    <xf numFmtId="2" fontId="0" fillId="2" borderId="17" xfId="0" applyNumberFormat="1" applyFill="1" applyBorder="1" applyAlignment="1" applyProtection="1">
      <alignment vertical="center"/>
    </xf>
    <xf numFmtId="2" fontId="0" fillId="2" borderId="19" xfId="0" applyNumberFormat="1" applyFill="1" applyBorder="1" applyAlignment="1" applyProtection="1">
      <alignment vertical="center"/>
    </xf>
    <xf numFmtId="0" fontId="14" fillId="0" borderId="0" xfId="0" applyFont="1" applyFill="1" applyAlignment="1" applyProtection="1">
      <alignment horizontal="left" vertical="center" wrapText="1"/>
    </xf>
    <xf numFmtId="0" fontId="0" fillId="2" borderId="0" xfId="0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0" fillId="0" borderId="11" xfId="0" applyBorder="1" applyAlignment="1" applyProtection="1">
      <alignment horizontal="right" vertical="center"/>
    </xf>
    <xf numFmtId="164" fontId="1" fillId="0" borderId="0" xfId="3" applyNumberFormat="1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64" fontId="1" fillId="0" borderId="0" xfId="3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right" vertical="center"/>
    </xf>
    <xf numFmtId="0" fontId="2" fillId="0" borderId="0" xfId="0" applyFont="1" applyFill="1" applyBorder="1" applyAlignment="1" applyProtection="1">
      <alignment horizontal="right" vertical="center"/>
    </xf>
    <xf numFmtId="0" fontId="3" fillId="2" borderId="0" xfId="0" applyFont="1" applyFill="1" applyAlignment="1" applyProtection="1">
      <alignment vertical="center"/>
    </xf>
    <xf numFmtId="0" fontId="15" fillId="0" borderId="0" xfId="0" applyFont="1" applyFill="1" applyAlignment="1" applyProtection="1">
      <alignment vertical="center"/>
    </xf>
    <xf numFmtId="1" fontId="0" fillId="0" borderId="0" xfId="0" applyNumberFormat="1"/>
    <xf numFmtId="0" fontId="0" fillId="0" borderId="0" xfId="0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right" vertical="center"/>
    </xf>
    <xf numFmtId="169" fontId="11" fillId="0" borderId="0" xfId="0" applyNumberFormat="1" applyFont="1" applyFill="1" applyBorder="1" applyProtection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 wrapText="1"/>
    </xf>
    <xf numFmtId="2" fontId="0" fillId="0" borderId="0" xfId="0" applyNumberFormat="1" applyFill="1" applyBorder="1" applyAlignment="1" applyProtection="1">
      <alignment horizontal="right" vertical="center"/>
    </xf>
    <xf numFmtId="1" fontId="6" fillId="0" borderId="0" xfId="0" applyNumberFormat="1" applyFont="1" applyFill="1" applyBorder="1" applyAlignment="1" applyProtection="1">
      <alignment horizontal="right" vertical="center"/>
    </xf>
    <xf numFmtId="2" fontId="0" fillId="0" borderId="0" xfId="0" applyNumberFormat="1" applyFill="1" applyBorder="1" applyAlignment="1" applyProtection="1">
      <alignment vertical="center"/>
    </xf>
    <xf numFmtId="2" fontId="2" fillId="0" borderId="0" xfId="0" applyNumberFormat="1" applyFont="1" applyFill="1" applyBorder="1" applyAlignment="1" applyProtection="1">
      <alignment vertical="center"/>
    </xf>
    <xf numFmtId="43" fontId="0" fillId="0" borderId="0" xfId="0" applyNumberFormat="1" applyFill="1" applyBorder="1" applyAlignment="1" applyProtection="1">
      <alignment horizontal="right" vertical="center"/>
    </xf>
    <xf numFmtId="0" fontId="0" fillId="0" borderId="0" xfId="0" applyNumberFormat="1"/>
    <xf numFmtId="0" fontId="0" fillId="0" borderId="0" xfId="0" applyNumberFormat="1" applyAlignment="1">
      <alignment horizontal="right"/>
    </xf>
    <xf numFmtId="166" fontId="0" fillId="0" borderId="0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" fillId="0" borderId="24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7" xfId="0" applyFill="1" applyBorder="1" applyAlignment="1">
      <alignment vertical="center"/>
    </xf>
    <xf numFmtId="0" fontId="0" fillId="0" borderId="21" xfId="0" applyFill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20" fillId="0" borderId="27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0" fillId="0" borderId="6" xfId="0" applyFill="1" applyBorder="1" applyAlignment="1">
      <alignment vertical="center"/>
    </xf>
    <xf numFmtId="2" fontId="0" fillId="2" borderId="14" xfId="0" applyNumberFormat="1" applyFill="1" applyBorder="1" applyAlignment="1" applyProtection="1">
      <alignment horizontal="right" vertical="center"/>
    </xf>
    <xf numFmtId="2" fontId="0" fillId="2" borderId="17" xfId="0" applyNumberFormat="1" applyFill="1" applyBorder="1" applyAlignment="1" applyProtection="1">
      <alignment horizontal="right" vertical="center"/>
    </xf>
    <xf numFmtId="2" fontId="2" fillId="2" borderId="15" xfId="0" applyNumberFormat="1" applyFont="1" applyFill="1" applyBorder="1" applyAlignment="1" applyProtection="1">
      <alignment horizontal="right" vertical="center"/>
    </xf>
    <xf numFmtId="4" fontId="0" fillId="0" borderId="0" xfId="0" applyNumberFormat="1" applyFill="1" applyBorder="1" applyAlignment="1" applyProtection="1">
      <alignment horizontal="center" vertical="center"/>
    </xf>
    <xf numFmtId="167" fontId="0" fillId="0" borderId="0" xfId="1" applyNumberFormat="1" applyFont="1" applyBorder="1" applyAlignment="1" applyProtection="1">
      <alignment horizontal="center" vertical="center"/>
    </xf>
    <xf numFmtId="9" fontId="0" fillId="0" borderId="7" xfId="3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4" fontId="0" fillId="0" borderId="2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 applyProtection="1">
      <alignment horizontal="center" vertical="center"/>
      <protection locked="0"/>
    </xf>
    <xf numFmtId="9" fontId="0" fillId="0" borderId="29" xfId="3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4" fillId="0" borderId="0" xfId="0" applyFont="1" applyAlignment="1" applyProtection="1">
      <alignment vertical="center"/>
    </xf>
    <xf numFmtId="2" fontId="0" fillId="2" borderId="21" xfId="0" applyNumberFormat="1" applyFill="1" applyBorder="1" applyAlignment="1" applyProtection="1">
      <alignment horizontal="center" vertical="center"/>
    </xf>
    <xf numFmtId="0" fontId="2" fillId="2" borderId="22" xfId="0" applyFont="1" applyFill="1" applyBorder="1" applyAlignment="1" applyProtection="1">
      <alignment horizontal="center" vertical="center"/>
    </xf>
    <xf numFmtId="4" fontId="24" fillId="0" borderId="12" xfId="0" applyNumberFormat="1" applyFont="1" applyFill="1" applyBorder="1" applyAlignment="1" applyProtection="1">
      <alignment vertical="center"/>
    </xf>
    <xf numFmtId="4" fontId="24" fillId="0" borderId="27" xfId="0" applyNumberFormat="1" applyFont="1" applyFill="1" applyBorder="1" applyAlignment="1" applyProtection="1">
      <alignment vertical="center"/>
    </xf>
    <xf numFmtId="4" fontId="24" fillId="0" borderId="13" xfId="0" applyNumberFormat="1" applyFont="1" applyFill="1" applyBorder="1" applyAlignment="1" applyProtection="1">
      <alignment vertical="center"/>
    </xf>
    <xf numFmtId="0" fontId="24" fillId="0" borderId="25" xfId="0" applyFont="1" applyFill="1" applyBorder="1" applyAlignment="1" applyProtection="1">
      <alignment vertical="center"/>
    </xf>
    <xf numFmtId="2" fontId="24" fillId="4" borderId="30" xfId="0" applyNumberFormat="1" applyFont="1" applyFill="1" applyBorder="1" applyAlignment="1" applyProtection="1">
      <alignment vertical="center"/>
    </xf>
    <xf numFmtId="168" fontId="24" fillId="2" borderId="16" xfId="2" applyNumberFormat="1" applyFont="1" applyFill="1" applyBorder="1" applyAlignment="1" applyProtection="1">
      <alignment vertical="center"/>
    </xf>
    <xf numFmtId="2" fontId="0" fillId="2" borderId="30" xfId="0" applyNumberFormat="1" applyFill="1" applyBorder="1" applyAlignment="1" applyProtection="1">
      <alignment vertical="center"/>
    </xf>
    <xf numFmtId="0" fontId="24" fillId="0" borderId="11" xfId="0" applyFont="1" applyBorder="1" applyAlignment="1" applyProtection="1">
      <alignment vertical="center"/>
    </xf>
    <xf numFmtId="0" fontId="0" fillId="0" borderId="31" xfId="0" applyBorder="1" applyAlignment="1" applyProtection="1">
      <alignment vertical="center"/>
    </xf>
    <xf numFmtId="0" fontId="0" fillId="0" borderId="32" xfId="0" applyBorder="1" applyAlignment="1" applyProtection="1">
      <alignment vertical="center"/>
    </xf>
    <xf numFmtId="0" fontId="27" fillId="0" borderId="33" xfId="0" applyFont="1" applyBorder="1" applyAlignment="1" applyProtection="1">
      <alignment vertical="center"/>
    </xf>
    <xf numFmtId="0" fontId="27" fillId="0" borderId="11" xfId="0" applyFont="1" applyBorder="1" applyAlignment="1" applyProtection="1">
      <alignment vertical="center"/>
    </xf>
    <xf numFmtId="44" fontId="0" fillId="0" borderId="0" xfId="2" applyFont="1" applyAlignment="1" applyProtection="1">
      <alignment vertical="center"/>
    </xf>
    <xf numFmtId="0" fontId="0" fillId="0" borderId="30" xfId="0" applyBorder="1" applyAlignment="1" applyProtection="1">
      <alignment vertical="center"/>
    </xf>
    <xf numFmtId="0" fontId="2" fillId="5" borderId="30" xfId="0" applyFont="1" applyFill="1" applyBorder="1" applyAlignment="1" applyProtection="1">
      <alignment horizontal="left" vertical="center"/>
    </xf>
    <xf numFmtId="0" fontId="0" fillId="5" borderId="0" xfId="0" applyFill="1" applyAlignment="1" applyProtection="1">
      <alignment vertical="center"/>
    </xf>
    <xf numFmtId="2" fontId="6" fillId="5" borderId="18" xfId="0" applyNumberFormat="1" applyFont="1" applyFill="1" applyBorder="1" applyAlignment="1" applyProtection="1">
      <alignment horizontal="left" vertical="center"/>
    </xf>
    <xf numFmtId="2" fontId="0" fillId="5" borderId="18" xfId="0" applyNumberFormat="1" applyFill="1" applyBorder="1" applyAlignment="1" applyProtection="1">
      <alignment vertical="center"/>
    </xf>
    <xf numFmtId="2" fontId="0" fillId="0" borderId="32" xfId="0" applyNumberFormat="1" applyBorder="1" applyAlignment="1" applyProtection="1">
      <alignment vertical="center"/>
    </xf>
    <xf numFmtId="0" fontId="6" fillId="0" borderId="0" xfId="0" applyFont="1"/>
    <xf numFmtId="2" fontId="6" fillId="7" borderId="2" xfId="0" applyNumberFormat="1" applyFont="1" applyFill="1" applyBorder="1"/>
    <xf numFmtId="2" fontId="6" fillId="2" borderId="2" xfId="0" applyNumberFormat="1" applyFont="1" applyFill="1" applyBorder="1" applyAlignment="1" applyProtection="1">
      <alignment horizontal="right" vertical="center"/>
    </xf>
    <xf numFmtId="0" fontId="0" fillId="0" borderId="0" xfId="0" applyBorder="1" applyAlignment="1" applyProtection="1">
      <alignment horizontal="left" vertical="center" wrapText="1"/>
    </xf>
    <xf numFmtId="0" fontId="6" fillId="0" borderId="34" xfId="0" applyFont="1" applyFill="1" applyBorder="1" applyAlignment="1">
      <alignment horizontal="left" vertical="center" wrapText="1"/>
    </xf>
    <xf numFmtId="0" fontId="0" fillId="0" borderId="34" xfId="0" applyFill="1" applyBorder="1" applyAlignment="1">
      <alignment horizontal="left" vertical="center" wrapText="1"/>
    </xf>
    <xf numFmtId="4" fontId="6" fillId="0" borderId="7" xfId="0" applyNumberFormat="1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/>
    <xf numFmtId="0" fontId="6" fillId="0" borderId="10" xfId="0" applyFont="1" applyBorder="1" applyAlignment="1" applyProtection="1">
      <alignment horizontal="center" vertical="center"/>
      <protection locked="0"/>
    </xf>
    <xf numFmtId="4" fontId="0" fillId="0" borderId="0" xfId="0" applyNumberForma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Fill="1"/>
    <xf numFmtId="1" fontId="0" fillId="0" borderId="0" xfId="0" applyNumberFormat="1" applyFill="1"/>
    <xf numFmtId="1" fontId="0" fillId="0" borderId="0" xfId="0" applyNumberFormat="1" applyFill="1" applyAlignment="1">
      <alignment horizontal="center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4" fontId="6" fillId="0" borderId="12" xfId="0" applyNumberFormat="1" applyFont="1" applyFill="1" applyBorder="1" applyAlignment="1" applyProtection="1">
      <alignment horizontal="center" vertical="center"/>
    </xf>
    <xf numFmtId="4" fontId="6" fillId="0" borderId="27" xfId="0" applyNumberFormat="1" applyFont="1" applyFill="1" applyBorder="1" applyAlignment="1" applyProtection="1">
      <alignment horizontal="center" vertical="center"/>
    </xf>
    <xf numFmtId="4" fontId="6" fillId="0" borderId="13" xfId="0" applyNumberFormat="1" applyFont="1" applyFill="1" applyBorder="1" applyAlignment="1" applyProtection="1">
      <alignment horizontal="center" vertical="center"/>
    </xf>
    <xf numFmtId="2" fontId="2" fillId="0" borderId="35" xfId="0" applyNumberFormat="1" applyFont="1" applyFill="1" applyBorder="1" applyAlignment="1" applyProtection="1">
      <alignment horizontal="center" vertical="center"/>
    </xf>
    <xf numFmtId="2" fontId="2" fillId="0" borderId="25" xfId="0" applyNumberFormat="1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168" fontId="2" fillId="2" borderId="2" xfId="2" applyNumberFormat="1" applyFont="1" applyFill="1" applyBorder="1" applyAlignment="1" applyProtection="1">
      <alignment horizontal="right" vertical="center"/>
    </xf>
    <xf numFmtId="0" fontId="0" fillId="0" borderId="0" xfId="0" applyBorder="1" applyAlignment="1" applyProtection="1">
      <alignment vertical="center" wrapText="1"/>
    </xf>
    <xf numFmtId="4" fontId="0" fillId="0" borderId="36" xfId="0" applyNumberFormat="1" applyBorder="1" applyAlignment="1" applyProtection="1">
      <alignment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24" fillId="0" borderId="37" xfId="0" applyFont="1" applyBorder="1" applyAlignment="1" applyProtection="1">
      <alignment horizontal="center" vertical="center" wrapText="1"/>
    </xf>
    <xf numFmtId="0" fontId="24" fillId="0" borderId="12" xfId="0" applyFont="1" applyBorder="1" applyAlignment="1" applyProtection="1">
      <alignment horizontal="center" vertical="center" wrapText="1"/>
    </xf>
    <xf numFmtId="0" fontId="24" fillId="0" borderId="26" xfId="0" applyFont="1" applyBorder="1" applyAlignment="1" applyProtection="1">
      <alignment horizontal="center" vertical="center" wrapText="1"/>
    </xf>
    <xf numFmtId="0" fontId="24" fillId="0" borderId="27" xfId="0" applyFont="1" applyBorder="1" applyAlignment="1" applyProtection="1">
      <alignment horizontal="center" vertical="center" wrapText="1"/>
    </xf>
    <xf numFmtId="0" fontId="0" fillId="0" borderId="38" xfId="0" applyNumberFormat="1" applyBorder="1" applyAlignment="1" applyProtection="1">
      <alignment vertical="center"/>
      <protection locked="0"/>
    </xf>
    <xf numFmtId="0" fontId="0" fillId="0" borderId="36" xfId="0" applyNumberFormat="1" applyBorder="1" applyAlignment="1" applyProtection="1">
      <alignment vertical="center"/>
      <protection locked="0"/>
    </xf>
    <xf numFmtId="0" fontId="0" fillId="0" borderId="39" xfId="0" applyFill="1" applyBorder="1" applyAlignment="1" applyProtection="1">
      <alignment horizontal="center" vertical="center" wrapText="1"/>
    </xf>
    <xf numFmtId="0" fontId="0" fillId="0" borderId="40" xfId="0" applyBorder="1" applyAlignment="1" applyProtection="1">
      <alignment horizontal="center" vertical="center" wrapText="1"/>
    </xf>
    <xf numFmtId="0" fontId="0" fillId="0" borderId="41" xfId="0" applyBorder="1" applyAlignment="1" applyProtection="1">
      <alignment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7" xfId="0" applyBorder="1" applyAlignment="1" applyProtection="1">
      <alignment vertical="center" wrapText="1"/>
    </xf>
    <xf numFmtId="0" fontId="0" fillId="0" borderId="20" xfId="0" applyFill="1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vertical="center" wrapText="1"/>
    </xf>
    <xf numFmtId="4" fontId="0" fillId="0" borderId="38" xfId="0" applyNumberFormat="1" applyBorder="1" applyAlignment="1" applyProtection="1">
      <alignment vertical="center"/>
      <protection locked="0"/>
    </xf>
    <xf numFmtId="0" fontId="0" fillId="0" borderId="38" xfId="0" applyBorder="1" applyAlignment="1" applyProtection="1">
      <alignment vertical="center"/>
      <protection locked="0"/>
    </xf>
    <xf numFmtId="0" fontId="1" fillId="0" borderId="42" xfId="1" applyNumberFormat="1" applyBorder="1" applyAlignment="1" applyProtection="1">
      <alignment vertical="center"/>
    </xf>
    <xf numFmtId="0" fontId="0" fillId="0" borderId="42" xfId="0" applyNumberFormat="1" applyBorder="1" applyAlignment="1" applyProtection="1">
      <alignment vertical="center"/>
    </xf>
    <xf numFmtId="0" fontId="1" fillId="0" borderId="38" xfId="1" applyNumberFormat="1" applyBorder="1" applyAlignment="1" applyProtection="1">
      <alignment vertical="center"/>
      <protection locked="0"/>
    </xf>
    <xf numFmtId="0" fontId="1" fillId="0" borderId="36" xfId="1" applyNumberFormat="1" applyBorder="1" applyAlignment="1" applyProtection="1">
      <alignment vertical="center"/>
      <protection locked="0"/>
    </xf>
    <xf numFmtId="0" fontId="0" fillId="0" borderId="36" xfId="0" applyBorder="1" applyAlignment="1" applyProtection="1">
      <alignment vertical="center"/>
      <protection locked="0"/>
    </xf>
    <xf numFmtId="0" fontId="0" fillId="0" borderId="7" xfId="0" applyFill="1" applyBorder="1" applyAlignment="1" applyProtection="1">
      <alignment horizontal="center" vertical="center"/>
      <protection locked="0"/>
    </xf>
    <xf numFmtId="0" fontId="25" fillId="5" borderId="43" xfId="0" applyFont="1" applyFill="1" applyBorder="1" applyAlignment="1" applyProtection="1">
      <alignment horizontal="center" vertical="top" wrapText="1"/>
    </xf>
    <xf numFmtId="0" fontId="25" fillId="5" borderId="35" xfId="0" applyFont="1" applyFill="1" applyBorder="1" applyAlignment="1" applyProtection="1">
      <alignment horizontal="center" vertical="top" wrapText="1"/>
    </xf>
    <xf numFmtId="0" fontId="0" fillId="0" borderId="21" xfId="0" applyFill="1" applyBorder="1" applyAlignment="1" applyProtection="1">
      <alignment horizontal="center" vertical="center"/>
      <protection locked="0"/>
    </xf>
    <xf numFmtId="0" fontId="0" fillId="0" borderId="44" xfId="0" applyFill="1" applyBorder="1" applyAlignment="1" applyProtection="1">
      <alignment horizontal="center" vertical="center"/>
      <protection locked="0"/>
    </xf>
    <xf numFmtId="0" fontId="14" fillId="6" borderId="0" xfId="0" applyFont="1" applyFill="1" applyAlignment="1" applyProtection="1">
      <alignment horizontal="left" vertical="center" wrapText="1"/>
    </xf>
    <xf numFmtId="0" fontId="10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 wrapText="1"/>
    </xf>
    <xf numFmtId="0" fontId="6" fillId="0" borderId="37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6" fillId="0" borderId="7" xfId="0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37" xfId="0" applyFill="1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2" fontId="2" fillId="0" borderId="22" xfId="0" applyNumberFormat="1" applyFont="1" applyFill="1" applyBorder="1" applyAlignment="1" applyProtection="1">
      <alignment horizontal="center" vertical="center"/>
    </xf>
    <xf numFmtId="2" fontId="2" fillId="0" borderId="46" xfId="0" applyNumberFormat="1" applyFont="1" applyFill="1" applyBorder="1" applyAlignment="1" applyProtection="1">
      <alignment horizontal="center" vertical="center"/>
    </xf>
    <xf numFmtId="0" fontId="0" fillId="0" borderId="49" xfId="0" applyFill="1" applyBorder="1" applyAlignment="1" applyProtection="1">
      <alignment horizontal="center" vertical="center" wrapText="1"/>
    </xf>
    <xf numFmtId="0" fontId="0" fillId="0" borderId="43" xfId="0" applyFill="1" applyBorder="1" applyAlignment="1" applyProtection="1">
      <alignment horizontal="center" vertical="center" wrapText="1"/>
    </xf>
    <xf numFmtId="0" fontId="0" fillId="0" borderId="50" xfId="0" applyFill="1" applyBorder="1" applyAlignment="1" applyProtection="1">
      <alignment horizontal="center" vertical="center" wrapText="1"/>
    </xf>
    <xf numFmtId="0" fontId="0" fillId="0" borderId="51" xfId="0" applyFill="1" applyBorder="1" applyAlignment="1" applyProtection="1">
      <alignment horizontal="center" vertical="center" wrapText="1"/>
    </xf>
    <xf numFmtId="0" fontId="0" fillId="0" borderId="23" xfId="0" applyFill="1" applyBorder="1" applyAlignment="1" applyProtection="1">
      <alignment horizontal="center" vertical="center" wrapText="1"/>
    </xf>
    <xf numFmtId="0" fontId="0" fillId="0" borderId="52" xfId="0" applyFill="1" applyBorder="1" applyAlignment="1" applyProtection="1">
      <alignment horizontal="center" vertical="center" wrapText="1"/>
    </xf>
    <xf numFmtId="2" fontId="0" fillId="0" borderId="21" xfId="0" applyNumberFormat="1" applyFill="1" applyBorder="1" applyAlignment="1" applyProtection="1">
      <alignment horizontal="center" vertical="center"/>
      <protection locked="0"/>
    </xf>
    <xf numFmtId="2" fontId="0" fillId="0" borderId="45" xfId="0" applyNumberFormat="1" applyFill="1" applyBorder="1" applyAlignment="1" applyProtection="1">
      <alignment horizontal="center" vertical="center"/>
      <protection locked="0"/>
    </xf>
    <xf numFmtId="2" fontId="0" fillId="0" borderId="21" xfId="0" applyNumberFormat="1" applyBorder="1" applyAlignment="1" applyProtection="1">
      <alignment horizontal="center" vertical="center"/>
      <protection locked="0"/>
    </xf>
    <xf numFmtId="2" fontId="0" fillId="0" borderId="45" xfId="0" applyNumberFormat="1" applyBorder="1" applyAlignment="1" applyProtection="1">
      <alignment horizontal="center" vertical="center"/>
      <protection locked="0"/>
    </xf>
    <xf numFmtId="2" fontId="6" fillId="2" borderId="47" xfId="0" applyNumberFormat="1" applyFont="1" applyFill="1" applyBorder="1" applyAlignment="1" applyProtection="1">
      <alignment horizontal="center"/>
    </xf>
    <xf numFmtId="2" fontId="6" fillId="2" borderId="48" xfId="0" applyNumberFormat="1" applyFont="1" applyFill="1" applyBorder="1" applyAlignment="1" applyProtection="1">
      <alignment horizontal="center"/>
    </xf>
    <xf numFmtId="1" fontId="6" fillId="2" borderId="47" xfId="0" applyNumberFormat="1" applyFont="1" applyFill="1" applyBorder="1" applyAlignment="1" applyProtection="1">
      <alignment horizontal="center" vertical="center"/>
    </xf>
    <xf numFmtId="1" fontId="6" fillId="2" borderId="48" xfId="0" applyNumberFormat="1" applyFont="1" applyFill="1" applyBorder="1" applyAlignment="1" applyProtection="1">
      <alignment horizontal="center" vertical="center"/>
    </xf>
    <xf numFmtId="2" fontId="6" fillId="2" borderId="47" xfId="0" applyNumberFormat="1" applyFont="1" applyFill="1" applyBorder="1" applyAlignment="1" applyProtection="1">
      <alignment horizontal="center" vertical="center"/>
    </xf>
    <xf numFmtId="2" fontId="6" fillId="2" borderId="48" xfId="0" applyNumberFormat="1" applyFont="1" applyFill="1" applyBorder="1" applyAlignment="1" applyProtection="1">
      <alignment horizontal="center" vertical="center"/>
    </xf>
    <xf numFmtId="2" fontId="1" fillId="2" borderId="47" xfId="0" applyNumberFormat="1" applyFont="1" applyFill="1" applyBorder="1" applyAlignment="1" applyProtection="1">
      <alignment horizontal="center" vertical="center"/>
    </xf>
    <xf numFmtId="2" fontId="1" fillId="2" borderId="48" xfId="0" applyNumberFormat="1" applyFont="1" applyFill="1" applyBorder="1" applyAlignment="1" applyProtection="1">
      <alignment horizontal="center" vertical="center"/>
    </xf>
    <xf numFmtId="2" fontId="0" fillId="2" borderId="47" xfId="0" applyNumberFormat="1" applyFill="1" applyBorder="1" applyAlignment="1" applyProtection="1">
      <alignment horizontal="center" vertical="center"/>
    </xf>
    <xf numFmtId="2" fontId="0" fillId="2" borderId="48" xfId="0" applyNumberForma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51" xfId="0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51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6" fillId="0" borderId="21" xfId="0" applyFont="1" applyFill="1" applyBorder="1" applyAlignment="1" applyProtection="1">
      <alignment horizontal="center" vertical="center"/>
      <protection locked="0"/>
    </xf>
    <xf numFmtId="0" fontId="0" fillId="0" borderId="51" xfId="0" applyBorder="1" applyAlignment="1" applyProtection="1">
      <alignment horizontal="left" vertical="center" wrapText="1"/>
    </xf>
    <xf numFmtId="0" fontId="29" fillId="2" borderId="0" xfId="0" applyFont="1" applyFill="1" applyAlignment="1" applyProtection="1">
      <alignment horizontal="center" vertical="center" wrapText="1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53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left" vertical="center" wrapText="1"/>
    </xf>
    <xf numFmtId="0" fontId="0" fillId="0" borderId="34" xfId="0" applyFill="1" applyBorder="1"/>
    <xf numFmtId="0" fontId="0" fillId="0" borderId="10" xfId="0" applyFill="1" applyBorder="1"/>
    <xf numFmtId="0" fontId="0" fillId="0" borderId="53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39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8" fillId="0" borderId="53" xfId="0" applyFont="1" applyBorder="1" applyAlignment="1">
      <alignment horizontal="left" vertical="center" wrapText="1"/>
    </xf>
    <xf numFmtId="0" fontId="8" fillId="0" borderId="40" xfId="0" applyFont="1" applyBorder="1" applyAlignment="1">
      <alignment horizontal="left" vertical="center" wrapText="1"/>
    </xf>
    <xf numFmtId="0" fontId="8" fillId="0" borderId="54" xfId="0" applyFont="1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0" fillId="0" borderId="55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5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8" fillId="0" borderId="41" xfId="0" applyFont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0" fillId="0" borderId="56" xfId="0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0" fillId="0" borderId="30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58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59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60" xfId="0" applyFont="1" applyFill="1" applyBorder="1" applyAlignment="1">
      <alignment horizontal="center" vertical="center" wrapText="1"/>
    </xf>
    <xf numFmtId="0" fontId="0" fillId="0" borderId="54" xfId="0" applyBorder="1" applyAlignment="1">
      <alignment horizontal="left" vertical="center" wrapText="1"/>
    </xf>
  </cellXfs>
  <cellStyles count="4">
    <cellStyle name="Milliers" xfId="1" builtinId="3"/>
    <cellStyle name="Monétaire" xfId="2" builtinId="4"/>
    <cellStyle name="Normal" xfId="0" builtinId="0"/>
    <cellStyle name="Pourcentag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739140</xdr:colOff>
      <xdr:row>1</xdr:row>
      <xdr:rowOff>906780</xdr:rowOff>
    </xdr:to>
    <xdr:pic>
      <xdr:nvPicPr>
        <xdr:cNvPr id="105512" name="Picture 18" descr="MFFPinb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"/>
          <a:ext cx="243840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645795</xdr:colOff>
      <xdr:row>55</xdr:row>
      <xdr:rowOff>0</xdr:rowOff>
    </xdr:from>
    <xdr:to>
      <xdr:col>2</xdr:col>
      <xdr:colOff>442106</xdr:colOff>
      <xdr:row>57</xdr:row>
      <xdr:rowOff>9525</xdr:rowOff>
    </xdr:to>
    <xdr:sp macro="" textlink="">
      <xdr:nvSpPr>
        <xdr:cNvPr id="102411" name="Text Box 11"/>
        <xdr:cNvSpPr txBox="1">
          <a:spLocks noChangeArrowheads="1"/>
        </xdr:cNvSpPr>
      </xdr:nvSpPr>
      <xdr:spPr bwMode="auto">
        <a:xfrm>
          <a:off x="619125" y="11715750"/>
          <a:ext cx="1457325" cy="466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CC00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CA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Retirer cette colonne pour éviter les confusions</a:t>
          </a:r>
        </a:p>
      </xdr:txBody>
    </xdr:sp>
    <xdr:clientData/>
  </xdr:twoCellAnchor>
  <xdr:twoCellAnchor>
    <xdr:from>
      <xdr:col>2</xdr:col>
      <xdr:colOff>441960</xdr:colOff>
      <xdr:row>54</xdr:row>
      <xdr:rowOff>7620</xdr:rowOff>
    </xdr:from>
    <xdr:to>
      <xdr:col>2</xdr:col>
      <xdr:colOff>518160</xdr:colOff>
      <xdr:row>55</xdr:row>
      <xdr:rowOff>236220</xdr:rowOff>
    </xdr:to>
    <xdr:cxnSp macro="">
      <xdr:nvCxnSpPr>
        <xdr:cNvPr id="105514" name="AutoShape 12"/>
        <xdr:cNvCxnSpPr>
          <a:cxnSpLocks noChangeShapeType="1"/>
          <a:stCxn id="102411" idx="3"/>
        </xdr:cNvCxnSpPr>
      </xdr:nvCxnSpPr>
      <xdr:spPr bwMode="auto">
        <a:xfrm flipV="1">
          <a:off x="2141220" y="11681460"/>
          <a:ext cx="76200" cy="396240"/>
        </a:xfrm>
        <a:prstGeom prst="bentConnector2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miter lim="800000"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60</xdr:row>
      <xdr:rowOff>60960</xdr:rowOff>
    </xdr:from>
    <xdr:to>
      <xdr:col>6</xdr:col>
      <xdr:colOff>251460</xdr:colOff>
      <xdr:row>66</xdr:row>
      <xdr:rowOff>22860</xdr:rowOff>
    </xdr:to>
    <xdr:sp macro="" textlink="">
      <xdr:nvSpPr>
        <xdr:cNvPr id="105515" name="Line 13"/>
        <xdr:cNvSpPr>
          <a:spLocks noChangeShapeType="1"/>
        </xdr:cNvSpPr>
      </xdr:nvSpPr>
      <xdr:spPr bwMode="auto">
        <a:xfrm flipH="1" flipV="1">
          <a:off x="4411980" y="12870180"/>
          <a:ext cx="464820" cy="9829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66</xdr:row>
      <xdr:rowOff>19050</xdr:rowOff>
    </xdr:from>
    <xdr:to>
      <xdr:col>8</xdr:col>
      <xdr:colOff>234317</xdr:colOff>
      <xdr:row>77</xdr:row>
      <xdr:rowOff>142875</xdr:rowOff>
    </xdr:to>
    <xdr:sp macro="" textlink="">
      <xdr:nvSpPr>
        <xdr:cNvPr id="102414" name="Text Box 14"/>
        <xdr:cNvSpPr txBox="1">
          <a:spLocks noChangeArrowheads="1"/>
        </xdr:cNvSpPr>
      </xdr:nvSpPr>
      <xdr:spPr bwMode="auto">
        <a:xfrm>
          <a:off x="4486275" y="13687425"/>
          <a:ext cx="3228975" cy="1924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CC00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CA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Ce commentaire s'explique par le fait que dans le module EATS de Mesubois il est prévu d'entrer les taux (à 100%) de la façon suivante :</a:t>
          </a:r>
        </a:p>
        <a:p>
          <a:pPr algn="l" rtl="0">
            <a:defRPr sz="1000"/>
          </a:pPr>
          <a:endParaRPr lang="fr-CA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CA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CA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CA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CA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CA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CA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CA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L'outil fait le calcul à 90% par la suite.</a:t>
          </a:r>
        </a:p>
      </xdr:txBody>
    </xdr:sp>
    <xdr:clientData/>
  </xdr:twoCellAnchor>
  <xdr:twoCellAnchor editAs="oneCell">
    <xdr:from>
      <xdr:col>6</xdr:col>
      <xdr:colOff>114300</xdr:colOff>
      <xdr:row>69</xdr:row>
      <xdr:rowOff>91440</xdr:rowOff>
    </xdr:from>
    <xdr:to>
      <xdr:col>7</xdr:col>
      <xdr:colOff>312420</xdr:colOff>
      <xdr:row>75</xdr:row>
      <xdr:rowOff>22860</xdr:rowOff>
    </xdr:to>
    <xdr:pic>
      <xdr:nvPicPr>
        <xdr:cNvPr id="10551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9640" y="14432280"/>
          <a:ext cx="239268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624840</xdr:colOff>
      <xdr:row>53</xdr:row>
      <xdr:rowOff>167640</xdr:rowOff>
    </xdr:from>
    <xdr:to>
      <xdr:col>5</xdr:col>
      <xdr:colOff>144780</xdr:colOff>
      <xdr:row>58</xdr:row>
      <xdr:rowOff>83820</xdr:rowOff>
    </xdr:to>
    <xdr:sp macro="" textlink="">
      <xdr:nvSpPr>
        <xdr:cNvPr id="105518" name="Line 19"/>
        <xdr:cNvSpPr>
          <a:spLocks noChangeShapeType="1"/>
        </xdr:cNvSpPr>
      </xdr:nvSpPr>
      <xdr:spPr bwMode="auto">
        <a:xfrm flipV="1">
          <a:off x="3108960" y="11666220"/>
          <a:ext cx="876300" cy="8915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round/>
          <a:headEnd type="oval" w="med" len="med"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335280</xdr:colOff>
      <xdr:row>3</xdr:row>
      <xdr:rowOff>137160</xdr:rowOff>
    </xdr:from>
    <xdr:to>
      <xdr:col>8</xdr:col>
      <xdr:colOff>373380</xdr:colOff>
      <xdr:row>34</xdr:row>
      <xdr:rowOff>0</xdr:rowOff>
    </xdr:to>
    <xdr:pic>
      <xdr:nvPicPr>
        <xdr:cNvPr id="104727" name="Picture 15" descr="img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32460"/>
          <a:ext cx="6377940" cy="505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571500</xdr:colOff>
      <xdr:row>3</xdr:row>
      <xdr:rowOff>53340</xdr:rowOff>
    </xdr:from>
    <xdr:to>
      <xdr:col>17</xdr:col>
      <xdr:colOff>228600</xdr:colOff>
      <xdr:row>31</xdr:row>
      <xdr:rowOff>121920</xdr:rowOff>
    </xdr:to>
    <xdr:pic>
      <xdr:nvPicPr>
        <xdr:cNvPr id="104728" name="Picture 16" descr="img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3820" y="548640"/>
          <a:ext cx="5996940" cy="475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35</xdr:row>
      <xdr:rowOff>129540</xdr:rowOff>
    </xdr:from>
    <xdr:to>
      <xdr:col>8</xdr:col>
      <xdr:colOff>297180</xdr:colOff>
      <xdr:row>65</xdr:row>
      <xdr:rowOff>7620</xdr:rowOff>
    </xdr:to>
    <xdr:pic>
      <xdr:nvPicPr>
        <xdr:cNvPr id="104729" name="Picture 17" descr="img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5981700"/>
          <a:ext cx="6172200" cy="490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36</xdr:row>
      <xdr:rowOff>22860</xdr:rowOff>
    </xdr:from>
    <xdr:to>
      <xdr:col>17</xdr:col>
      <xdr:colOff>495300</xdr:colOff>
      <xdr:row>64</xdr:row>
      <xdr:rowOff>68580</xdr:rowOff>
    </xdr:to>
    <xdr:pic>
      <xdr:nvPicPr>
        <xdr:cNvPr id="104730" name="Picture 18" descr="img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6042660"/>
          <a:ext cx="5966460" cy="473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68</xdr:row>
      <xdr:rowOff>30480</xdr:rowOff>
    </xdr:from>
    <xdr:to>
      <xdr:col>8</xdr:col>
      <xdr:colOff>30480</xdr:colOff>
      <xdr:row>97</xdr:row>
      <xdr:rowOff>30480</xdr:rowOff>
    </xdr:to>
    <xdr:pic>
      <xdr:nvPicPr>
        <xdr:cNvPr id="104731" name="Picture 19" descr="img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414760"/>
          <a:ext cx="6141720" cy="486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100</xdr:row>
      <xdr:rowOff>38100</xdr:rowOff>
    </xdr:from>
    <xdr:to>
      <xdr:col>8</xdr:col>
      <xdr:colOff>106680</xdr:colOff>
      <xdr:row>129</xdr:row>
      <xdr:rowOff>7620</xdr:rowOff>
    </xdr:to>
    <xdr:pic>
      <xdr:nvPicPr>
        <xdr:cNvPr id="104732" name="Picture 20" descr="img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786860"/>
          <a:ext cx="6294120" cy="483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132</xdr:row>
      <xdr:rowOff>7620</xdr:rowOff>
    </xdr:from>
    <xdr:to>
      <xdr:col>8</xdr:col>
      <xdr:colOff>624840</xdr:colOff>
      <xdr:row>163</xdr:row>
      <xdr:rowOff>106680</xdr:rowOff>
    </xdr:to>
    <xdr:pic>
      <xdr:nvPicPr>
        <xdr:cNvPr id="104733" name="Picture 21" descr="img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2120860"/>
          <a:ext cx="6637020" cy="529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739140</xdr:colOff>
      <xdr:row>1</xdr:row>
      <xdr:rowOff>906780</xdr:rowOff>
    </xdr:to>
    <xdr:pic>
      <xdr:nvPicPr>
        <xdr:cNvPr id="93396" name="Picture 18" descr="MFFPinb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"/>
          <a:ext cx="243840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739140</xdr:colOff>
      <xdr:row>1</xdr:row>
      <xdr:rowOff>906780</xdr:rowOff>
    </xdr:to>
    <xdr:pic>
      <xdr:nvPicPr>
        <xdr:cNvPr id="94404" name="Picture 9" descr="MFFPinb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"/>
          <a:ext cx="243840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1</xdr:row>
      <xdr:rowOff>0</xdr:rowOff>
    </xdr:from>
    <xdr:to>
      <xdr:col>2</xdr:col>
      <xdr:colOff>754380</xdr:colOff>
      <xdr:row>1</xdr:row>
      <xdr:rowOff>906780</xdr:rowOff>
    </xdr:to>
    <xdr:pic>
      <xdr:nvPicPr>
        <xdr:cNvPr id="95427" name="Picture 8" descr="MFFPinb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74320"/>
          <a:ext cx="243078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7620</xdr:rowOff>
    </xdr:from>
    <xdr:to>
      <xdr:col>3</xdr:col>
      <xdr:colOff>777240</xdr:colOff>
      <xdr:row>1</xdr:row>
      <xdr:rowOff>914400</xdr:rowOff>
    </xdr:to>
    <xdr:pic>
      <xdr:nvPicPr>
        <xdr:cNvPr id="83149" name="Picture 16" descr="MFFPinb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1940"/>
          <a:ext cx="246126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1</xdr:row>
      <xdr:rowOff>0</xdr:rowOff>
    </xdr:from>
    <xdr:to>
      <xdr:col>2</xdr:col>
      <xdr:colOff>792480</xdr:colOff>
      <xdr:row>1</xdr:row>
      <xdr:rowOff>906780</xdr:rowOff>
    </xdr:to>
    <xdr:pic>
      <xdr:nvPicPr>
        <xdr:cNvPr id="96450" name="Picture 7" descr="MFFPinb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75260"/>
          <a:ext cx="231648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266700</xdr:rowOff>
    </xdr:from>
    <xdr:to>
      <xdr:col>2</xdr:col>
      <xdr:colOff>784860</xdr:colOff>
      <xdr:row>1</xdr:row>
      <xdr:rowOff>899160</xdr:rowOff>
    </xdr:to>
    <xdr:pic>
      <xdr:nvPicPr>
        <xdr:cNvPr id="98498" name="Picture 7" descr="MFFPinb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266700"/>
          <a:ext cx="243840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1</xdr:row>
      <xdr:rowOff>7620</xdr:rowOff>
    </xdr:from>
    <xdr:to>
      <xdr:col>2</xdr:col>
      <xdr:colOff>754380</xdr:colOff>
      <xdr:row>1</xdr:row>
      <xdr:rowOff>914400</xdr:rowOff>
    </xdr:to>
    <xdr:pic>
      <xdr:nvPicPr>
        <xdr:cNvPr id="97473" name="Picture 7" descr="MFFPinb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81940"/>
          <a:ext cx="243078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1</xdr:row>
      <xdr:rowOff>7620</xdr:rowOff>
    </xdr:from>
    <xdr:to>
      <xdr:col>2</xdr:col>
      <xdr:colOff>746760</xdr:colOff>
      <xdr:row>1</xdr:row>
      <xdr:rowOff>914400</xdr:rowOff>
    </xdr:to>
    <xdr:pic>
      <xdr:nvPicPr>
        <xdr:cNvPr id="103489" name="Picture 1" descr="MFFPinb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82880"/>
          <a:ext cx="242316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84"/>
  <sheetViews>
    <sheetView topLeftCell="A43" zoomScaleNormal="100" workbookViewId="0">
      <selection activeCell="C60" sqref="C60"/>
    </sheetView>
  </sheetViews>
  <sheetFormatPr baseColWidth="10" defaultColWidth="11.42578125" defaultRowHeight="12.75" x14ac:dyDescent="0.2"/>
  <cols>
    <col min="1" max="1" width="11.42578125" style="1"/>
    <col min="2" max="2" width="13.28515625" style="1" customWidth="1"/>
    <col min="3" max="4" width="11.42578125" style="1"/>
    <col min="5" max="5" width="8.28515625" style="1" customWidth="1"/>
    <col min="6" max="6" width="11.42578125" style="1"/>
    <col min="7" max="7" width="32" style="1" customWidth="1"/>
    <col min="8" max="8" width="13" style="1" customWidth="1"/>
    <col min="9" max="9" width="14.42578125" style="1" customWidth="1"/>
    <col min="10" max="10" width="6.5703125" style="1" customWidth="1"/>
    <col min="11" max="11" width="1.85546875" style="1" customWidth="1"/>
    <col min="12" max="16384" width="11.42578125" style="1"/>
  </cols>
  <sheetData>
    <row r="1" spans="1:11" s="2" customFormat="1" ht="21.75" customHeight="1" x14ac:dyDescent="0.2">
      <c r="A1" s="22"/>
      <c r="B1" s="22"/>
      <c r="C1" s="22"/>
      <c r="D1" s="22"/>
      <c r="E1" s="22"/>
      <c r="F1" s="22"/>
      <c r="G1" s="22"/>
      <c r="H1" s="22"/>
    </row>
    <row r="2" spans="1:11" s="2" customFormat="1" ht="101.25" customHeight="1" x14ac:dyDescent="0.2">
      <c r="A2" s="22"/>
      <c r="B2" s="22"/>
      <c r="C2" s="22"/>
      <c r="D2" s="310" t="s">
        <v>166</v>
      </c>
      <c r="E2" s="310"/>
      <c r="F2" s="310"/>
      <c r="G2" s="310"/>
      <c r="H2" s="310"/>
      <c r="I2" s="310"/>
      <c r="J2" s="310"/>
      <c r="K2" s="163"/>
    </row>
    <row r="4" spans="1:11" s="2" customFormat="1" ht="37.5" customHeight="1" x14ac:dyDescent="0.2">
      <c r="A4" s="311" t="s">
        <v>12</v>
      </c>
      <c r="B4" s="311"/>
      <c r="C4" s="17"/>
      <c r="D4" s="312" t="s">
        <v>161</v>
      </c>
      <c r="E4" s="312"/>
      <c r="F4" s="312"/>
      <c r="G4" s="312"/>
      <c r="H4" s="18"/>
      <c r="I4" s="312" t="s">
        <v>23</v>
      </c>
      <c r="J4" s="312"/>
    </row>
    <row r="6" spans="1:11" x14ac:dyDescent="0.2">
      <c r="A6" s="1" t="s">
        <v>216</v>
      </c>
      <c r="D6" s="305"/>
      <c r="E6" s="305"/>
      <c r="F6" s="15"/>
    </row>
    <row r="7" spans="1:11" x14ac:dyDescent="0.2">
      <c r="A7" s="1" t="s">
        <v>217</v>
      </c>
      <c r="D7" s="305"/>
      <c r="E7" s="305"/>
      <c r="F7" s="15"/>
    </row>
    <row r="8" spans="1:11" x14ac:dyDescent="0.2">
      <c r="A8" s="1" t="s">
        <v>214</v>
      </c>
      <c r="D8" s="308"/>
      <c r="E8" s="309"/>
      <c r="F8" s="15"/>
    </row>
    <row r="9" spans="1:11" x14ac:dyDescent="0.2">
      <c r="D9" s="15"/>
      <c r="E9" s="15"/>
      <c r="F9" s="15"/>
    </row>
    <row r="10" spans="1:11" ht="22.5" customHeight="1" x14ac:dyDescent="0.2">
      <c r="A10" s="70" t="s">
        <v>175</v>
      </c>
      <c r="B10" s="68"/>
      <c r="C10" s="68"/>
      <c r="D10" s="68"/>
      <c r="E10" s="164"/>
      <c r="F10" s="164"/>
      <c r="G10" s="68"/>
      <c r="H10" s="68"/>
      <c r="I10" s="68"/>
      <c r="J10" s="68"/>
      <c r="K10" s="68"/>
    </row>
    <row r="11" spans="1:11" ht="15" customHeight="1" x14ac:dyDescent="0.2">
      <c r="A11" s="82"/>
      <c r="B11" s="19"/>
      <c r="C11" s="19"/>
      <c r="D11" s="165" t="s">
        <v>162</v>
      </c>
      <c r="E11" s="15"/>
      <c r="F11" s="15"/>
      <c r="G11" s="19"/>
      <c r="H11" s="83" t="s">
        <v>20</v>
      </c>
      <c r="I11" s="19"/>
      <c r="J11" s="19"/>
      <c r="K11" s="19"/>
    </row>
    <row r="12" spans="1:11" ht="15.75" customHeight="1" thickBot="1" x14ac:dyDescent="0.25">
      <c r="A12" s="3" t="s">
        <v>174</v>
      </c>
      <c r="G12" s="3"/>
    </row>
    <row r="13" spans="1:11" ht="15" customHeight="1" thickBot="1" x14ac:dyDescent="0.25">
      <c r="A13" s="1" t="s">
        <v>237</v>
      </c>
      <c r="D13" s="139">
        <v>40</v>
      </c>
      <c r="E13" s="1" t="s">
        <v>163</v>
      </c>
      <c r="H13" s="93">
        <f>(4.511*D15^-0.682 - EXP(-0.391*LN(D14)+1.939) + 3.912*EXP(-0.0094*D13)- 0.0698*D13 + 7.1029+2.15)</f>
        <v>23.127978635151177</v>
      </c>
      <c r="I13" s="6" t="s">
        <v>167</v>
      </c>
    </row>
    <row r="14" spans="1:11" ht="15" customHeight="1" x14ac:dyDescent="0.2">
      <c r="A14" s="1" t="s">
        <v>164</v>
      </c>
      <c r="D14" s="140">
        <v>0.1</v>
      </c>
      <c r="E14" s="1" t="s">
        <v>165</v>
      </c>
      <c r="H14" s="166"/>
      <c r="I14" s="6"/>
    </row>
    <row r="15" spans="1:11" ht="15" customHeight="1" thickBot="1" x14ac:dyDescent="0.25">
      <c r="A15" s="1" t="s">
        <v>185</v>
      </c>
      <c r="D15" s="141">
        <v>5.8999999999999997E-2</v>
      </c>
      <c r="E15" s="1" t="s">
        <v>165</v>
      </c>
      <c r="H15" s="14"/>
      <c r="I15" s="6"/>
    </row>
    <row r="16" spans="1:11" ht="15" customHeight="1" x14ac:dyDescent="0.2">
      <c r="E16" s="4"/>
      <c r="F16" s="4"/>
      <c r="I16" s="4"/>
      <c r="J16" s="4"/>
    </row>
    <row r="17" spans="1:11" ht="15.75" customHeight="1" x14ac:dyDescent="0.2">
      <c r="A17" s="3" t="s">
        <v>170</v>
      </c>
      <c r="E17" s="4"/>
      <c r="F17" s="4"/>
      <c r="I17" s="4"/>
      <c r="J17" s="4"/>
    </row>
    <row r="18" spans="1:11" s="57" customFormat="1" ht="15" customHeight="1" x14ac:dyDescent="0.2">
      <c r="E18" s="58"/>
      <c r="F18" s="58"/>
      <c r="I18" s="58"/>
      <c r="J18" s="58"/>
    </row>
    <row r="19" spans="1:11" ht="15" customHeight="1" thickBot="1" x14ac:dyDescent="0.25">
      <c r="A19" s="56" t="s">
        <v>171</v>
      </c>
      <c r="B19" s="8"/>
      <c r="C19" s="8"/>
      <c r="D19" s="7"/>
      <c r="G19" s="55"/>
      <c r="H19" s="55"/>
      <c r="I19" s="16"/>
    </row>
    <row r="20" spans="1:11" ht="15" customHeight="1" thickBot="1" x14ac:dyDescent="0.25">
      <c r="A20" s="5" t="s">
        <v>15</v>
      </c>
      <c r="B20" s="8"/>
      <c r="C20" s="8"/>
      <c r="D20" s="142">
        <v>22</v>
      </c>
      <c r="E20" s="1" t="s">
        <v>16</v>
      </c>
      <c r="G20" s="54"/>
      <c r="H20" s="93">
        <f>IF(D20=0,0,10000*D20^-1*108.9/1000/D13)</f>
        <v>1.2375000000000003</v>
      </c>
      <c r="I20" s="16" t="s">
        <v>167</v>
      </c>
    </row>
    <row r="21" spans="1:11" ht="15" customHeight="1" x14ac:dyDescent="0.2">
      <c r="A21" s="5"/>
      <c r="B21" s="8"/>
      <c r="C21" s="8"/>
      <c r="D21" s="117"/>
      <c r="G21" s="16"/>
      <c r="H21" s="15"/>
      <c r="I21" s="16"/>
    </row>
    <row r="22" spans="1:11" ht="15" customHeight="1" thickBot="1" x14ac:dyDescent="0.25">
      <c r="A22" s="56" t="s">
        <v>173</v>
      </c>
      <c r="B22" s="8"/>
      <c r="C22" s="8"/>
      <c r="D22" s="7"/>
    </row>
    <row r="23" spans="1:11" ht="15" thickBot="1" x14ac:dyDescent="0.25">
      <c r="A23" s="5" t="s">
        <v>172</v>
      </c>
      <c r="B23" s="8"/>
      <c r="C23" s="8"/>
      <c r="D23" s="118">
        <v>3.2000000000000001E-2</v>
      </c>
      <c r="E23" s="152" t="s">
        <v>212</v>
      </c>
      <c r="F23" s="152"/>
      <c r="G23" s="59"/>
      <c r="H23" s="95">
        <f>(H13+H20+H26)*D23</f>
        <v>1.1127382086710145</v>
      </c>
      <c r="I23" s="5" t="s">
        <v>167</v>
      </c>
    </row>
    <row r="24" spans="1:11" x14ac:dyDescent="0.2">
      <c r="A24" s="5"/>
      <c r="B24" s="8"/>
      <c r="C24" s="8"/>
      <c r="D24" s="167"/>
      <c r="E24" s="91"/>
      <c r="F24" s="91"/>
      <c r="G24" s="59"/>
      <c r="H24" s="107"/>
      <c r="I24" s="5"/>
    </row>
    <row r="25" spans="1:11" ht="13.5" thickBot="1" x14ac:dyDescent="0.25">
      <c r="A25" s="64" t="s">
        <v>195</v>
      </c>
      <c r="B25" s="8"/>
      <c r="C25" s="8"/>
      <c r="D25" s="167"/>
      <c r="E25" s="91"/>
      <c r="F25" s="91"/>
      <c r="G25" s="59"/>
      <c r="H25" s="107"/>
      <c r="I25" s="5"/>
    </row>
    <row r="26" spans="1:11" ht="15" thickBot="1" x14ac:dyDescent="0.25">
      <c r="A26" s="80" t="s">
        <v>172</v>
      </c>
      <c r="B26" s="8"/>
      <c r="C26" s="8"/>
      <c r="D26" s="118">
        <v>0.45</v>
      </c>
      <c r="E26" s="150" t="s">
        <v>212</v>
      </c>
      <c r="F26" s="150"/>
      <c r="G26" s="59"/>
      <c r="H26" s="95">
        <f>H13*D26</f>
        <v>10.407590385818029</v>
      </c>
      <c r="I26" s="5" t="s">
        <v>167</v>
      </c>
    </row>
    <row r="27" spans="1:11" ht="13.5" thickBot="1" x14ac:dyDescent="0.25">
      <c r="A27" s="5"/>
      <c r="B27" s="8"/>
      <c r="C27" s="8"/>
      <c r="D27" s="167"/>
      <c r="E27" s="92"/>
      <c r="F27" s="92"/>
      <c r="G27" s="59"/>
      <c r="H27" s="79"/>
      <c r="I27" s="5"/>
    </row>
    <row r="28" spans="1:11" ht="14.25" x14ac:dyDescent="0.2">
      <c r="A28" s="5"/>
      <c r="B28" s="8"/>
      <c r="C28" s="8"/>
      <c r="D28" s="167"/>
      <c r="G28" s="80" t="s">
        <v>178</v>
      </c>
      <c r="H28" s="96">
        <f>(H13+H20+H23+H26)</f>
        <v>35.885807229640221</v>
      </c>
      <c r="I28" s="5" t="s">
        <v>167</v>
      </c>
    </row>
    <row r="29" spans="1:11" ht="13.5" thickBot="1" x14ac:dyDescent="0.25">
      <c r="A29" s="5"/>
      <c r="B29" s="8"/>
      <c r="C29" s="8"/>
      <c r="D29" s="167"/>
      <c r="G29" s="81" t="s">
        <v>178</v>
      </c>
      <c r="H29" s="97">
        <f>H28*D13</f>
        <v>1435.4322891856089</v>
      </c>
      <c r="I29" s="5" t="s">
        <v>9</v>
      </c>
    </row>
    <row r="30" spans="1:11" ht="15" customHeight="1" x14ac:dyDescent="0.2">
      <c r="A30" s="5"/>
      <c r="B30" s="8"/>
      <c r="C30" s="8"/>
      <c r="D30" s="7"/>
      <c r="H30" s="53"/>
    </row>
    <row r="31" spans="1:11" ht="22.5" customHeight="1" x14ac:dyDescent="0.2">
      <c r="A31" s="65" t="s">
        <v>176</v>
      </c>
      <c r="B31" s="66"/>
      <c r="C31" s="66"/>
      <c r="D31" s="168"/>
      <c r="E31" s="164"/>
      <c r="F31" s="164"/>
      <c r="G31" s="68"/>
      <c r="H31" s="77"/>
      <c r="I31" s="68"/>
      <c r="J31" s="68"/>
      <c r="K31" s="68"/>
    </row>
    <row r="32" spans="1:11" ht="15" customHeight="1" x14ac:dyDescent="0.2">
      <c r="A32" s="5"/>
      <c r="B32" s="8"/>
      <c r="C32" s="8"/>
      <c r="D32" s="169" t="s">
        <v>162</v>
      </c>
      <c r="E32" s="15"/>
      <c r="F32" s="15"/>
      <c r="G32" s="19"/>
      <c r="H32" s="83" t="s">
        <v>20</v>
      </c>
    </row>
    <row r="33" spans="1:15" ht="15.75" customHeight="1" thickBot="1" x14ac:dyDescent="0.25">
      <c r="A33" s="3" t="s">
        <v>186</v>
      </c>
      <c r="D33" s="19"/>
      <c r="H33" s="20"/>
    </row>
    <row r="34" spans="1:15" ht="15" customHeight="1" thickBot="1" x14ac:dyDescent="0.25">
      <c r="A34" s="5" t="s">
        <v>17</v>
      </c>
      <c r="B34" s="8"/>
      <c r="C34" s="8"/>
      <c r="D34" s="119">
        <v>19</v>
      </c>
      <c r="E34" s="1" t="s">
        <v>9</v>
      </c>
      <c r="H34" s="98">
        <f>SUM(D34:D37)</f>
        <v>38</v>
      </c>
      <c r="I34" s="19" t="s">
        <v>9</v>
      </c>
      <c r="J34" s="19"/>
    </row>
    <row r="35" spans="1:15" ht="15" customHeight="1" x14ac:dyDescent="0.2">
      <c r="A35" s="5" t="s">
        <v>153</v>
      </c>
      <c r="B35" s="8"/>
      <c r="C35" s="8"/>
      <c r="D35" s="120">
        <v>8</v>
      </c>
      <c r="E35" s="1" t="s">
        <v>9</v>
      </c>
      <c r="H35" s="61"/>
      <c r="I35" s="19"/>
      <c r="J35" s="19"/>
    </row>
    <row r="36" spans="1:15" ht="15" customHeight="1" x14ac:dyDescent="0.2">
      <c r="A36" s="5" t="s">
        <v>18</v>
      </c>
      <c r="B36" s="8"/>
      <c r="C36" s="8"/>
      <c r="D36" s="121">
        <v>8</v>
      </c>
      <c r="E36" s="1" t="s">
        <v>9</v>
      </c>
      <c r="H36" s="61"/>
      <c r="I36" s="19"/>
      <c r="J36" s="19"/>
      <c r="O36" s="90"/>
    </row>
    <row r="37" spans="1:15" ht="15" customHeight="1" thickBot="1" x14ac:dyDescent="0.25">
      <c r="A37" s="5" t="s">
        <v>19</v>
      </c>
      <c r="B37" s="8"/>
      <c r="C37" s="8"/>
      <c r="D37" s="122">
        <v>3</v>
      </c>
      <c r="E37" s="1" t="s">
        <v>9</v>
      </c>
      <c r="H37" s="61"/>
    </row>
    <row r="38" spans="1:15" ht="15" customHeight="1" x14ac:dyDescent="0.2">
      <c r="A38" s="5"/>
      <c r="B38" s="8"/>
      <c r="C38" s="8"/>
      <c r="D38" s="123"/>
    </row>
    <row r="39" spans="1:15" ht="15.75" customHeight="1" x14ac:dyDescent="0.2">
      <c r="A39" s="3" t="s">
        <v>170</v>
      </c>
      <c r="B39" s="8"/>
      <c r="C39" s="8"/>
      <c r="D39" s="124"/>
      <c r="E39" s="9"/>
      <c r="F39" s="9"/>
    </row>
    <row r="40" spans="1:15" ht="15" customHeight="1" x14ac:dyDescent="0.2">
      <c r="A40" s="5"/>
      <c r="B40" s="8"/>
      <c r="C40" s="8"/>
      <c r="D40" s="124"/>
    </row>
    <row r="41" spans="1:15" ht="15" customHeight="1" thickBot="1" x14ac:dyDescent="0.25">
      <c r="A41" s="64" t="s">
        <v>177</v>
      </c>
      <c r="B41" s="8"/>
      <c r="C41" s="8"/>
      <c r="D41" s="124"/>
    </row>
    <row r="42" spans="1:15" ht="15" customHeight="1" thickBot="1" x14ac:dyDescent="0.25">
      <c r="A42" s="5" t="s">
        <v>172</v>
      </c>
      <c r="B42" s="8"/>
      <c r="C42" s="8"/>
      <c r="D42" s="118"/>
      <c r="E42" s="1" t="s">
        <v>212</v>
      </c>
      <c r="G42" s="59"/>
      <c r="H42" s="95">
        <f>H34*D42</f>
        <v>0</v>
      </c>
      <c r="I42" s="5" t="s">
        <v>9</v>
      </c>
    </row>
    <row r="43" spans="1:15" ht="15" customHeight="1" x14ac:dyDescent="0.2">
      <c r="A43" s="5"/>
      <c r="B43" s="8"/>
      <c r="C43" s="8"/>
      <c r="G43" s="5"/>
      <c r="H43" s="5"/>
    </row>
    <row r="44" spans="1:15" ht="22.5" customHeight="1" x14ac:dyDescent="0.2">
      <c r="A44" s="65" t="s">
        <v>268</v>
      </c>
      <c r="B44" s="66"/>
      <c r="C44" s="66"/>
      <c r="D44" s="68"/>
      <c r="E44" s="68"/>
      <c r="F44" s="68"/>
      <c r="G44" s="69"/>
      <c r="H44" s="78"/>
      <c r="I44" s="68"/>
      <c r="J44" s="68"/>
      <c r="K44" s="68"/>
    </row>
    <row r="45" spans="1:15" ht="13.5" thickBot="1" x14ac:dyDescent="0.25">
      <c r="B45" s="4"/>
      <c r="C45" s="4"/>
      <c r="G45" s="5"/>
      <c r="H45" s="5"/>
    </row>
    <row r="46" spans="1:15" x14ac:dyDescent="0.2">
      <c r="A46" s="289" t="s">
        <v>213</v>
      </c>
      <c r="B46" s="292" t="s">
        <v>183</v>
      </c>
      <c r="C46" s="295" t="s">
        <v>184</v>
      </c>
      <c r="D46" s="283" t="s">
        <v>263</v>
      </c>
      <c r="E46" s="285" t="s">
        <v>264</v>
      </c>
      <c r="F46" s="16"/>
    </row>
    <row r="47" spans="1:15" x14ac:dyDescent="0.2">
      <c r="A47" s="290"/>
      <c r="B47" s="293"/>
      <c r="C47" s="296"/>
      <c r="D47" s="284"/>
      <c r="E47" s="286"/>
      <c r="F47" s="16"/>
    </row>
    <row r="48" spans="1:15" x14ac:dyDescent="0.2">
      <c r="A48" s="291"/>
      <c r="B48" s="294"/>
      <c r="C48" s="297"/>
      <c r="D48" s="284"/>
      <c r="E48" s="286"/>
      <c r="F48" s="16"/>
    </row>
    <row r="49" spans="1:11" x14ac:dyDescent="0.2">
      <c r="A49" s="74" t="s">
        <v>4</v>
      </c>
      <c r="B49" s="143">
        <v>8</v>
      </c>
      <c r="C49" s="234">
        <f>B49*(1+0)</f>
        <v>8</v>
      </c>
      <c r="D49" s="236">
        <f>$H$29*(1+0)</f>
        <v>1435.4322891856089</v>
      </c>
      <c r="E49" s="237">
        <f>D49-$H$29</f>
        <v>0</v>
      </c>
      <c r="F49" s="16"/>
    </row>
    <row r="50" spans="1:11" x14ac:dyDescent="0.2">
      <c r="A50" s="74" t="s">
        <v>5</v>
      </c>
      <c r="B50" s="143">
        <v>6</v>
      </c>
      <c r="C50" s="234">
        <f>B50*(1+0)</f>
        <v>6</v>
      </c>
      <c r="D50" s="236">
        <f>$H$29*(1+0)</f>
        <v>1435.4322891856089</v>
      </c>
      <c r="E50" s="237">
        <f>D50-$H$29</f>
        <v>0</v>
      </c>
      <c r="F50" s="16"/>
    </row>
    <row r="51" spans="1:11" x14ac:dyDescent="0.2">
      <c r="A51" s="74" t="s">
        <v>6</v>
      </c>
      <c r="B51" s="143">
        <v>5</v>
      </c>
      <c r="C51" s="234">
        <f>B51*(1+0.007)</f>
        <v>5.0349999999999993</v>
      </c>
      <c r="D51" s="236">
        <f>$H$29*(1+0.007)</f>
        <v>1445.480315209908</v>
      </c>
      <c r="E51" s="237">
        <f>D51-$H$29</f>
        <v>10.048026024299133</v>
      </c>
      <c r="F51" s="16"/>
    </row>
    <row r="52" spans="1:11" ht="13.5" thickBot="1" x14ac:dyDescent="0.25">
      <c r="A52" s="74" t="s">
        <v>7</v>
      </c>
      <c r="B52" s="143">
        <v>15</v>
      </c>
      <c r="C52" s="234">
        <f>B52*(1+0.026)</f>
        <v>15.39</v>
      </c>
      <c r="D52" s="236">
        <f>$H$29*(1+0.026)</f>
        <v>1472.7535287044348</v>
      </c>
      <c r="E52" s="237">
        <f>D52-$H$29</f>
        <v>37.321239518825905</v>
      </c>
      <c r="F52" s="16"/>
    </row>
    <row r="53" spans="1:11" x14ac:dyDescent="0.2">
      <c r="A53" s="74" t="s">
        <v>8</v>
      </c>
      <c r="B53" s="144">
        <v>2</v>
      </c>
      <c r="C53" s="234">
        <f>B53*(1+0.061)</f>
        <v>2.1219999999999999</v>
      </c>
      <c r="D53" s="236">
        <f>$H$29*(1+0.061)</f>
        <v>1522.9936588259309</v>
      </c>
      <c r="E53" s="237">
        <f>D53-$H$29</f>
        <v>87.561369640322027</v>
      </c>
      <c r="F53" s="250" t="s">
        <v>266</v>
      </c>
      <c r="G53" s="251"/>
    </row>
    <row r="54" spans="1:11" ht="13.5" thickBot="1" x14ac:dyDescent="0.25">
      <c r="A54" s="75" t="s">
        <v>182</v>
      </c>
      <c r="B54" s="76">
        <f>SUM(B49:B53)</f>
        <v>36</v>
      </c>
      <c r="C54" s="235">
        <f>SUM(C49:C53)</f>
        <v>36.546999999999997</v>
      </c>
      <c r="D54" s="238"/>
      <c r="E54" s="239"/>
      <c r="F54" s="252">
        <f>IF(B54=0,0,SUMPRODUCT(E49:E53,B49:B53)/B54)</f>
        <v>21.810596171792454</v>
      </c>
      <c r="G54" s="251" t="s">
        <v>9</v>
      </c>
    </row>
    <row r="55" spans="1:11" x14ac:dyDescent="0.2">
      <c r="A55" s="16"/>
      <c r="B55" s="16"/>
      <c r="C55" s="16"/>
      <c r="D55" s="126"/>
      <c r="E55" s="16"/>
      <c r="F55" s="16"/>
    </row>
    <row r="56" spans="1:11" s="7" customFormat="1" ht="22.5" customHeight="1" x14ac:dyDescent="0.2">
      <c r="A56" s="84" t="s">
        <v>3</v>
      </c>
      <c r="B56" s="85"/>
      <c r="C56" s="85"/>
      <c r="D56" s="85"/>
      <c r="E56" s="85"/>
      <c r="F56" s="125"/>
      <c r="G56" s="158" t="s">
        <v>218</v>
      </c>
      <c r="H56" s="87"/>
      <c r="I56" s="87"/>
      <c r="J56" s="87"/>
      <c r="K56" s="87"/>
    </row>
    <row r="57" spans="1:11" ht="13.5" thickBot="1" x14ac:dyDescent="0.25">
      <c r="A57" s="16"/>
      <c r="B57" s="16"/>
      <c r="C57" s="16"/>
      <c r="D57" s="126"/>
      <c r="E57" s="16"/>
      <c r="F57" s="16"/>
      <c r="H57" s="159"/>
      <c r="I57" s="159"/>
      <c r="J57" s="159"/>
    </row>
    <row r="58" spans="1:11" ht="13.5" thickBot="1" x14ac:dyDescent="0.25">
      <c r="A58" s="5" t="s">
        <v>175</v>
      </c>
      <c r="C58" s="10"/>
      <c r="D58" s="242">
        <f>H13*D13</f>
        <v>925.1191454060471</v>
      </c>
      <c r="E58" s="1" t="s">
        <v>9</v>
      </c>
      <c r="G58" s="14" t="s">
        <v>219</v>
      </c>
      <c r="H58" s="302"/>
      <c r="I58" s="287"/>
      <c r="J58" s="5"/>
    </row>
    <row r="59" spans="1:11" ht="12.75" customHeight="1" x14ac:dyDescent="0.2">
      <c r="A59" s="246" t="s">
        <v>262</v>
      </c>
      <c r="B59" s="243"/>
      <c r="C59" s="243"/>
      <c r="D59" s="249"/>
      <c r="E59" s="247" t="s">
        <v>9</v>
      </c>
      <c r="F59" s="306" t="s">
        <v>267</v>
      </c>
      <c r="G59" s="14" t="s">
        <v>220</v>
      </c>
      <c r="H59" s="303"/>
      <c r="I59" s="304"/>
      <c r="J59" s="5"/>
    </row>
    <row r="60" spans="1:11" ht="13.5" thickBot="1" x14ac:dyDescent="0.25">
      <c r="A60" s="244" t="s">
        <v>231</v>
      </c>
      <c r="B60" s="245"/>
      <c r="C60" s="254"/>
      <c r="D60" s="253">
        <f>((H20+H23+H26)*D13)+F54</f>
        <v>532.1237399513542</v>
      </c>
      <c r="E60" s="245" t="s">
        <v>9</v>
      </c>
      <c r="F60" s="307"/>
      <c r="H60" s="300"/>
      <c r="I60" s="301"/>
      <c r="J60" s="5"/>
    </row>
    <row r="61" spans="1:11" x14ac:dyDescent="0.2">
      <c r="A61" s="5" t="s">
        <v>176</v>
      </c>
      <c r="D61" s="161">
        <f>H34</f>
        <v>38</v>
      </c>
      <c r="E61" s="1" t="s">
        <v>9</v>
      </c>
      <c r="G61" s="14" t="s">
        <v>221</v>
      </c>
      <c r="H61" s="302"/>
      <c r="I61" s="299"/>
      <c r="J61" s="5"/>
    </row>
    <row r="62" spans="1:11" x14ac:dyDescent="0.2">
      <c r="A62" s="5" t="s">
        <v>232</v>
      </c>
      <c r="D62" s="162">
        <f>H42</f>
        <v>0</v>
      </c>
      <c r="E62" s="1" t="s">
        <v>9</v>
      </c>
      <c r="F62" s="56"/>
      <c r="G62" s="14" t="s">
        <v>215</v>
      </c>
      <c r="H62" s="288"/>
      <c r="I62" s="288"/>
      <c r="J62" s="5"/>
    </row>
    <row r="63" spans="1:11" ht="13.5" thickBot="1" x14ac:dyDescent="0.25">
      <c r="A63" s="64" t="s">
        <v>3</v>
      </c>
      <c r="D63" s="101">
        <f>SUM(D58:D62)</f>
        <v>1495.2428853574013</v>
      </c>
      <c r="E63" s="56" t="s">
        <v>9</v>
      </c>
      <c r="F63" s="248"/>
      <c r="G63" s="14" t="s">
        <v>222</v>
      </c>
      <c r="H63" s="288"/>
      <c r="I63" s="288"/>
      <c r="J63" s="5"/>
    </row>
    <row r="64" spans="1:11" ht="13.5" thickBot="1" x14ac:dyDescent="0.25">
      <c r="A64" s="5"/>
      <c r="D64" s="5"/>
      <c r="G64" s="14"/>
      <c r="H64" s="160"/>
      <c r="I64" s="160"/>
      <c r="J64" s="5"/>
    </row>
    <row r="65" spans="1:10" x14ac:dyDescent="0.2">
      <c r="A65" s="232" t="s">
        <v>265</v>
      </c>
      <c r="B65" s="233"/>
      <c r="C65" s="233"/>
      <c r="D65" s="240">
        <f>B54</f>
        <v>36</v>
      </c>
      <c r="G65" s="14" t="s">
        <v>223</v>
      </c>
      <c r="H65" s="287"/>
      <c r="I65" s="287"/>
      <c r="J65" s="5"/>
    </row>
    <row r="66" spans="1:10" x14ac:dyDescent="0.2">
      <c r="A66" s="51" t="s">
        <v>71</v>
      </c>
      <c r="D66" s="145">
        <v>0.9</v>
      </c>
      <c r="E66" s="1" t="s">
        <v>212</v>
      </c>
      <c r="G66" s="14" t="s">
        <v>224</v>
      </c>
      <c r="H66" s="288"/>
      <c r="I66" s="288"/>
      <c r="J66" s="5"/>
    </row>
    <row r="67" spans="1:10" x14ac:dyDescent="0.2">
      <c r="A67" s="5" t="s">
        <v>179</v>
      </c>
      <c r="D67" s="241">
        <f>(D58+F54)*D65*D66</f>
        <v>30680.523627122002</v>
      </c>
      <c r="E67" s="1" t="s">
        <v>11</v>
      </c>
      <c r="G67" s="14"/>
      <c r="H67" s="160"/>
      <c r="I67" s="160"/>
      <c r="J67" s="5"/>
    </row>
    <row r="68" spans="1:10" x14ac:dyDescent="0.2">
      <c r="A68" s="13" t="s">
        <v>180</v>
      </c>
      <c r="D68" s="127">
        <f>D61*D65*D66</f>
        <v>1231.2</v>
      </c>
      <c r="E68" s="1" t="s">
        <v>11</v>
      </c>
      <c r="F68" s="7"/>
      <c r="G68" s="14" t="s">
        <v>225</v>
      </c>
      <c r="H68" s="287"/>
      <c r="I68" s="287"/>
      <c r="J68" s="5"/>
    </row>
    <row r="69" spans="1:10" ht="13.5" thickBot="1" x14ac:dyDescent="0.25">
      <c r="A69" s="64" t="s">
        <v>152</v>
      </c>
      <c r="D69" s="128">
        <f>D63*D65*D66</f>
        <v>48445.869485579802</v>
      </c>
      <c r="E69" s="7" t="s">
        <v>11</v>
      </c>
      <c r="F69" s="7"/>
      <c r="G69" s="14"/>
      <c r="H69" s="160"/>
      <c r="I69" s="160"/>
      <c r="J69" s="5"/>
    </row>
    <row r="70" spans="1:10" x14ac:dyDescent="0.2">
      <c r="A70" s="64"/>
      <c r="D70" s="108"/>
      <c r="E70" s="7"/>
      <c r="F70" s="7"/>
      <c r="G70" s="14" t="s">
        <v>226</v>
      </c>
      <c r="H70" s="287"/>
      <c r="I70" s="287"/>
      <c r="J70" s="5"/>
    </row>
    <row r="71" spans="1:10" x14ac:dyDescent="0.2">
      <c r="A71" s="64"/>
      <c r="D71" s="108"/>
      <c r="E71" s="7"/>
      <c r="G71" s="14" t="s">
        <v>227</v>
      </c>
      <c r="H71" s="288"/>
      <c r="I71" s="288"/>
      <c r="J71" s="5"/>
    </row>
    <row r="72" spans="1:10" x14ac:dyDescent="0.2">
      <c r="G72" s="14"/>
      <c r="H72" s="160"/>
      <c r="I72" s="160"/>
      <c r="J72" s="5"/>
    </row>
    <row r="73" spans="1:10" x14ac:dyDescent="0.2">
      <c r="G73" s="14" t="s">
        <v>228</v>
      </c>
      <c r="H73" s="287"/>
      <c r="I73" s="287"/>
      <c r="J73" s="5"/>
    </row>
    <row r="74" spans="1:10" x14ac:dyDescent="0.2">
      <c r="G74" s="14" t="s">
        <v>229</v>
      </c>
      <c r="H74" s="288"/>
      <c r="I74" s="288"/>
      <c r="J74" s="5"/>
    </row>
    <row r="75" spans="1:10" x14ac:dyDescent="0.2">
      <c r="G75" s="157"/>
      <c r="H75" s="160"/>
      <c r="I75" s="160"/>
      <c r="J75" s="5"/>
    </row>
    <row r="76" spans="1:10" x14ac:dyDescent="0.2">
      <c r="G76" s="113" t="s">
        <v>230</v>
      </c>
      <c r="H76" s="298"/>
      <c r="I76" s="299"/>
      <c r="J76" s="5"/>
    </row>
    <row r="77" spans="1:10" ht="13.5" customHeight="1" x14ac:dyDescent="0.2">
      <c r="A77" s="280" t="s">
        <v>24</v>
      </c>
      <c r="B77" s="280"/>
      <c r="C77" s="280"/>
      <c r="D77" s="280"/>
      <c r="H77" s="281"/>
      <c r="I77" s="281"/>
      <c r="J77" s="5"/>
    </row>
    <row r="78" spans="1:10" x14ac:dyDescent="0.2">
      <c r="A78" s="280"/>
      <c r="B78" s="280"/>
      <c r="C78" s="280"/>
      <c r="D78" s="280"/>
      <c r="J78" s="5"/>
    </row>
    <row r="79" spans="1:10" x14ac:dyDescent="0.2">
      <c r="A79" s="280"/>
      <c r="B79" s="280"/>
      <c r="C79" s="280"/>
      <c r="D79" s="280"/>
      <c r="F79" s="157"/>
      <c r="J79" s="5"/>
    </row>
    <row r="80" spans="1:10" ht="18.75" customHeight="1" x14ac:dyDescent="0.2">
      <c r="A80" s="280"/>
      <c r="B80" s="280"/>
      <c r="C80" s="280"/>
      <c r="D80" s="280"/>
      <c r="E80" s="157"/>
      <c r="H80" s="160"/>
      <c r="I80" s="160"/>
      <c r="J80" s="5"/>
    </row>
    <row r="81" spans="1:9" x14ac:dyDescent="0.2">
      <c r="A81" s="282"/>
      <c r="B81" s="282"/>
      <c r="C81" s="282"/>
      <c r="D81" s="282"/>
      <c r="H81" s="160"/>
      <c r="I81" s="160"/>
    </row>
    <row r="82" spans="1:9" ht="18.75" customHeight="1" x14ac:dyDescent="0.2">
      <c r="A82" s="1" t="s">
        <v>0</v>
      </c>
      <c r="D82" s="10" t="s">
        <v>2</v>
      </c>
    </row>
    <row r="83" spans="1:9" x14ac:dyDescent="0.2">
      <c r="A83" s="11"/>
      <c r="B83" s="11"/>
      <c r="C83" s="11"/>
      <c r="D83" s="11"/>
      <c r="I83" s="1" t="s">
        <v>238</v>
      </c>
    </row>
    <row r="84" spans="1:9" x14ac:dyDescent="0.2">
      <c r="A84" s="1" t="s">
        <v>1</v>
      </c>
    </row>
  </sheetData>
  <sheetProtection algorithmName="SHA-512" hashValue="7bH8dq53PpILIgsc23+3XITOYi1sHgVvlNV1DFu9kiIG6vxYfephx2oAc/sqZU55VEYFuDXFI80RROffM4pjog==" saltValue="37obspj6Lgllvgz3mbawGw==" spinCount="100000" sheet="1"/>
  <mergeCells count="30">
    <mergeCell ref="D7:E7"/>
    <mergeCell ref="F59:F60"/>
    <mergeCell ref="D8:E8"/>
    <mergeCell ref="D2:J2"/>
    <mergeCell ref="A4:B4"/>
    <mergeCell ref="D4:G4"/>
    <mergeCell ref="I4:J4"/>
    <mergeCell ref="D6:E6"/>
    <mergeCell ref="H62:I62"/>
    <mergeCell ref="H63:I63"/>
    <mergeCell ref="H65:I65"/>
    <mergeCell ref="H66:I66"/>
    <mergeCell ref="H58:I58"/>
    <mergeCell ref="H59:I59"/>
    <mergeCell ref="A77:D80"/>
    <mergeCell ref="H77:I77"/>
    <mergeCell ref="A81:D81"/>
    <mergeCell ref="D46:D48"/>
    <mergeCell ref="E46:E48"/>
    <mergeCell ref="H68:I68"/>
    <mergeCell ref="H70:I70"/>
    <mergeCell ref="H71:I71"/>
    <mergeCell ref="H73:I73"/>
    <mergeCell ref="H74:I74"/>
    <mergeCell ref="A46:A48"/>
    <mergeCell ref="B46:B48"/>
    <mergeCell ref="C46:C48"/>
    <mergeCell ref="H76:I76"/>
    <mergeCell ref="H60:I60"/>
    <mergeCell ref="H61:I61"/>
  </mergeCells>
  <phoneticPr fontId="25" type="noConversion"/>
  <dataValidations count="9">
    <dataValidation type="decimal" allowBlank="1" showInputMessage="1" showErrorMessage="1" errorTitle="Valeur autorisée" error="La valeur saisie doit être comprise entre 0 et 3,2%" sqref="D23">
      <formula1>0</formula1>
      <formula2>0.032</formula2>
    </dataValidation>
    <dataValidation type="decimal" operator="greaterThanOrEqual" allowBlank="1" showInputMessage="1" showErrorMessage="1" errorTitle="Valeur autorisée" error="La valeur saisie doit être supérieure à 15 m._x000a__x000a_Laissez la cellule vide si non applicable_x000a_" sqref="D20">
      <formula1>15</formula1>
    </dataValidation>
    <dataValidation type="list" allowBlank="1" showInputMessage="1" showErrorMessage="1" sqref="D26">
      <formula1>Manuel</formula1>
    </dataValidation>
    <dataValidation type="list" allowBlank="1" showInputMessage="1" showErrorMessage="1" sqref="D37">
      <formula1>Rapport</formula1>
    </dataValidation>
    <dataValidation type="list" allowBlank="1" showInputMessage="1" showErrorMessage="1" sqref="D36">
      <formula1>InvAT</formula1>
    </dataValidation>
    <dataValidation type="list" allowBlank="1" showInputMessage="1" showErrorMessage="1" sqref="D35">
      <formula1>Qualite</formula1>
    </dataValidation>
    <dataValidation type="list" allowBlank="1" showInputMessage="1" showErrorMessage="1" sqref="D34">
      <formula1>Sup</formula1>
    </dataValidation>
    <dataValidation type="list" allowBlank="1" showInputMessage="1" showErrorMessage="1" sqref="D66">
      <formula1>Investissement</formula1>
    </dataValidation>
    <dataValidation type="decimal" allowBlank="1" showInputMessage="1" showErrorMessage="1" errorTitle="Valeur autorisée" error="La valeur saisie doit être comprise entre 0 et 1,2%" sqref="D42">
      <formula1>0</formula1>
      <formula2>0.012</formula2>
    </dataValidation>
  </dataValidations>
  <pageMargins left="0.7" right="0.7" top="0.75" bottom="0.75" header="0.3" footer="0.3"/>
  <pageSetup scale="5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Q131"/>
  <sheetViews>
    <sheetView showGridLines="0" workbookViewId="0">
      <selection sqref="A1:H2"/>
    </sheetView>
  </sheetViews>
  <sheetFormatPr baseColWidth="10" defaultRowHeight="12.75" x14ac:dyDescent="0.2"/>
  <sheetData>
    <row r="1" spans="1:17" x14ac:dyDescent="0.2">
      <c r="A1" s="355" t="s">
        <v>200</v>
      </c>
      <c r="B1" s="355"/>
      <c r="C1" s="355"/>
      <c r="D1" s="355"/>
      <c r="E1" s="355"/>
      <c r="F1" s="355"/>
      <c r="G1" s="355"/>
      <c r="H1" s="355"/>
      <c r="J1" s="355" t="s">
        <v>202</v>
      </c>
      <c r="K1" s="355"/>
      <c r="L1" s="355"/>
      <c r="M1" s="355"/>
      <c r="N1" s="355"/>
      <c r="O1" s="355"/>
      <c r="P1" s="355"/>
      <c r="Q1" s="355"/>
    </row>
    <row r="2" spans="1:17" x14ac:dyDescent="0.2">
      <c r="A2" s="355"/>
      <c r="B2" s="355"/>
      <c r="C2" s="355"/>
      <c r="D2" s="355"/>
      <c r="E2" s="355"/>
      <c r="F2" s="355"/>
      <c r="G2" s="355"/>
      <c r="H2" s="355"/>
      <c r="J2" s="355"/>
      <c r="K2" s="355"/>
      <c r="L2" s="355"/>
      <c r="M2" s="355"/>
      <c r="N2" s="355"/>
      <c r="O2" s="355"/>
      <c r="P2" s="355"/>
      <c r="Q2" s="355"/>
    </row>
    <row r="3" spans="1:17" ht="12.75" customHeight="1" x14ac:dyDescent="0.2">
      <c r="A3" s="356" t="s">
        <v>201</v>
      </c>
      <c r="B3" s="356"/>
      <c r="C3" s="356"/>
      <c r="D3" s="356"/>
      <c r="E3" s="356"/>
      <c r="F3" s="356"/>
      <c r="G3" s="356"/>
      <c r="H3" s="356"/>
      <c r="J3" s="356" t="s">
        <v>203</v>
      </c>
      <c r="K3" s="356"/>
      <c r="L3" s="356"/>
      <c r="M3" s="356"/>
      <c r="N3" s="356"/>
      <c r="O3" s="356"/>
      <c r="P3" s="356"/>
      <c r="Q3" s="356"/>
    </row>
    <row r="4" spans="1:17" ht="12.75" customHeight="1" x14ac:dyDescent="0.2">
      <c r="A4" s="356"/>
      <c r="B4" s="356"/>
      <c r="C4" s="356"/>
      <c r="D4" s="356"/>
      <c r="E4" s="356"/>
      <c r="F4" s="356"/>
      <c r="G4" s="356"/>
      <c r="H4" s="356"/>
      <c r="J4" s="356"/>
      <c r="K4" s="356"/>
      <c r="L4" s="356"/>
      <c r="M4" s="356"/>
      <c r="N4" s="356"/>
      <c r="O4" s="356"/>
      <c r="P4" s="356"/>
      <c r="Q4" s="356"/>
    </row>
    <row r="35" spans="1:17" x14ac:dyDescent="0.2">
      <c r="A35" s="356" t="s">
        <v>204</v>
      </c>
      <c r="B35" s="356"/>
      <c r="C35" s="356"/>
      <c r="D35" s="356"/>
      <c r="E35" s="356"/>
      <c r="F35" s="356"/>
      <c r="G35" s="356"/>
      <c r="H35" s="356"/>
      <c r="J35" s="356" t="s">
        <v>205</v>
      </c>
      <c r="K35" s="356"/>
      <c r="L35" s="356"/>
      <c r="M35" s="356"/>
      <c r="N35" s="356"/>
      <c r="O35" s="356"/>
      <c r="P35" s="356"/>
      <c r="Q35" s="356"/>
    </row>
    <row r="36" spans="1:17" x14ac:dyDescent="0.2">
      <c r="A36" s="356"/>
      <c r="B36" s="356"/>
      <c r="C36" s="356"/>
      <c r="D36" s="356"/>
      <c r="E36" s="356"/>
      <c r="F36" s="356"/>
      <c r="G36" s="356"/>
      <c r="H36" s="356"/>
      <c r="J36" s="356"/>
      <c r="K36" s="356"/>
      <c r="L36" s="356"/>
      <c r="M36" s="356"/>
      <c r="N36" s="356"/>
      <c r="O36" s="356"/>
      <c r="P36" s="356"/>
      <c r="Q36" s="356"/>
    </row>
    <row r="67" spans="1:8" x14ac:dyDescent="0.2">
      <c r="A67" s="357" t="s">
        <v>206</v>
      </c>
      <c r="B67" s="358"/>
      <c r="C67" s="358"/>
      <c r="D67" s="358"/>
      <c r="E67" s="358"/>
      <c r="F67" s="358"/>
      <c r="G67" s="358"/>
      <c r="H67" s="358"/>
    </row>
    <row r="68" spans="1:8" x14ac:dyDescent="0.2">
      <c r="A68" s="358"/>
      <c r="B68" s="358"/>
      <c r="C68" s="358"/>
      <c r="D68" s="358"/>
      <c r="E68" s="358"/>
      <c r="F68" s="358"/>
      <c r="G68" s="358"/>
      <c r="H68" s="358"/>
    </row>
    <row r="99" spans="1:8" x14ac:dyDescent="0.2">
      <c r="A99" s="356" t="s">
        <v>207</v>
      </c>
      <c r="B99" s="356"/>
      <c r="C99" s="356"/>
      <c r="D99" s="356"/>
      <c r="E99" s="356"/>
      <c r="F99" s="356"/>
      <c r="G99" s="356"/>
      <c r="H99" s="356"/>
    </row>
    <row r="100" spans="1:8" x14ac:dyDescent="0.2">
      <c r="A100" s="356"/>
      <c r="B100" s="356"/>
      <c r="C100" s="356"/>
      <c r="D100" s="356"/>
      <c r="E100" s="356"/>
      <c r="F100" s="356"/>
      <c r="G100" s="356"/>
      <c r="H100" s="356"/>
    </row>
    <row r="130" spans="1:8" x14ac:dyDescent="0.2">
      <c r="A130" s="354" t="s">
        <v>208</v>
      </c>
      <c r="B130" s="354"/>
      <c r="C130" s="354"/>
      <c r="D130" s="354"/>
      <c r="E130" s="354"/>
      <c r="F130" s="354"/>
      <c r="G130" s="354"/>
      <c r="H130" s="354"/>
    </row>
    <row r="131" spans="1:8" x14ac:dyDescent="0.2">
      <c r="A131" s="354"/>
      <c r="B131" s="354"/>
      <c r="C131" s="354"/>
      <c r="D131" s="354"/>
      <c r="E131" s="354"/>
      <c r="F131" s="354"/>
      <c r="G131" s="354"/>
      <c r="H131" s="354"/>
    </row>
  </sheetData>
  <sheetProtection sheet="1" objects="1" scenarios="1"/>
  <mergeCells count="9">
    <mergeCell ref="A130:H131"/>
    <mergeCell ref="A1:H2"/>
    <mergeCell ref="A3:H4"/>
    <mergeCell ref="A35:H36"/>
    <mergeCell ref="J1:Q2"/>
    <mergeCell ref="J3:Q4"/>
    <mergeCell ref="J35:Q36"/>
    <mergeCell ref="A67:H68"/>
    <mergeCell ref="A99:H100"/>
  </mergeCells>
  <phoneticPr fontId="8" type="noConversion"/>
  <pageMargins left="0.78740157499999996" right="0.78740157499999996" top="0.984251969" bottom="0.984251969" header="0.4921259845" footer="0.4921259845"/>
  <pageSetup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H3"/>
  <sheetViews>
    <sheetView workbookViewId="0">
      <selection activeCell="H54" sqref="H54"/>
    </sheetView>
  </sheetViews>
  <sheetFormatPr baseColWidth="10" defaultRowHeight="12.75" x14ac:dyDescent="0.2"/>
  <cols>
    <col min="3" max="3" width="13.28515625" bestFit="1" customWidth="1"/>
  </cols>
  <sheetData>
    <row r="1" spans="1:8" x14ac:dyDescent="0.2">
      <c r="A1" t="s">
        <v>188</v>
      </c>
      <c r="B1" t="s">
        <v>189</v>
      </c>
      <c r="C1" t="s">
        <v>187</v>
      </c>
      <c r="D1" t="s">
        <v>190</v>
      </c>
      <c r="E1" t="s">
        <v>191</v>
      </c>
      <c r="F1" t="s">
        <v>192</v>
      </c>
      <c r="G1" t="s">
        <v>193</v>
      </c>
      <c r="H1" t="s">
        <v>194</v>
      </c>
    </row>
    <row r="2" spans="1:8" x14ac:dyDescent="0.2">
      <c r="A2" s="89">
        <v>0</v>
      </c>
      <c r="B2" s="89">
        <v>0</v>
      </c>
      <c r="C2" s="89">
        <v>0</v>
      </c>
      <c r="D2">
        <v>0</v>
      </c>
      <c r="E2">
        <v>0</v>
      </c>
      <c r="F2">
        <v>0</v>
      </c>
      <c r="G2">
        <v>0</v>
      </c>
      <c r="H2" s="104">
        <v>0</v>
      </c>
    </row>
    <row r="3" spans="1:8" x14ac:dyDescent="0.2">
      <c r="A3" s="88">
        <v>3.2000000000000001E-2</v>
      </c>
      <c r="B3" s="88">
        <v>1.2E-2</v>
      </c>
      <c r="C3" s="89">
        <v>0.9</v>
      </c>
      <c r="D3">
        <v>19</v>
      </c>
      <c r="E3">
        <v>8</v>
      </c>
      <c r="F3">
        <v>8</v>
      </c>
      <c r="G3">
        <v>3</v>
      </c>
      <c r="H3" s="104">
        <v>0.45</v>
      </c>
    </row>
  </sheetData>
  <sheetProtection algorithmName="SHA-512" hashValue="863zzq8wfzVzvRQk0YaQRmpTMfXbjNXhMFygM8dLfSX9UVh3TYhaiCCnFlVXWlg90ZG3W3nn+3H/2lNZkxyp2Q==" saltValue="lHDAkPhbsH0Y0w8dPxf4bg==" spinCount="100000" sheet="1"/>
  <phoneticPr fontId="8" type="noConversion"/>
  <pageMargins left="0.78740157499999996" right="0.78740157499999996" top="0.984251969" bottom="0.984251969" header="0.4921259845" footer="0.492125984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M102"/>
  <sheetViews>
    <sheetView workbookViewId="0"/>
  </sheetViews>
  <sheetFormatPr baseColWidth="10" defaultColWidth="11.42578125" defaultRowHeight="12.75" x14ac:dyDescent="0.2"/>
  <cols>
    <col min="1" max="1" width="15.140625" style="43" customWidth="1"/>
    <col min="2" max="2" width="21.42578125" style="43" customWidth="1"/>
    <col min="3" max="3" width="24" style="26" customWidth="1"/>
    <col min="4" max="4" width="22.7109375" style="26" customWidth="1"/>
    <col min="5" max="5" width="11.85546875" style="27" customWidth="1"/>
    <col min="6" max="6" width="12.140625" style="27" customWidth="1"/>
    <col min="7" max="8" width="19.5703125" style="27" customWidth="1"/>
    <col min="9" max="16384" width="11.42578125" style="26"/>
  </cols>
  <sheetData>
    <row r="1" spans="1:8" ht="77.25" thickBot="1" x14ac:dyDescent="0.25">
      <c r="A1" s="28" t="s">
        <v>26</v>
      </c>
      <c r="B1" s="29" t="s">
        <v>27</v>
      </c>
      <c r="C1" s="30" t="s">
        <v>28</v>
      </c>
      <c r="D1" s="31" t="s">
        <v>29</v>
      </c>
      <c r="E1" s="31" t="s">
        <v>30</v>
      </c>
      <c r="F1" s="195" t="s">
        <v>31</v>
      </c>
      <c r="G1" s="30" t="s">
        <v>242</v>
      </c>
      <c r="H1" s="32" t="s">
        <v>241</v>
      </c>
    </row>
    <row r="2" spans="1:8" ht="15" customHeight="1" x14ac:dyDescent="0.2">
      <c r="A2" s="377" t="s">
        <v>32</v>
      </c>
      <c r="B2" s="368" t="s">
        <v>33</v>
      </c>
      <c r="C2" s="384" t="s">
        <v>34</v>
      </c>
      <c r="D2" s="33" t="s">
        <v>83</v>
      </c>
      <c r="E2" s="226" t="s">
        <v>25</v>
      </c>
      <c r="F2" s="191"/>
      <c r="G2" s="202">
        <v>1</v>
      </c>
      <c r="H2" s="203">
        <v>2</v>
      </c>
    </row>
    <row r="3" spans="1:8" ht="15" customHeight="1" x14ac:dyDescent="0.2">
      <c r="A3" s="378"/>
      <c r="B3" s="369"/>
      <c r="C3" s="375"/>
      <c r="D3" s="34" t="s">
        <v>84</v>
      </c>
      <c r="E3" s="227" t="s">
        <v>25</v>
      </c>
      <c r="F3" s="192"/>
      <c r="G3" s="204">
        <v>1</v>
      </c>
      <c r="H3" s="205">
        <v>2</v>
      </c>
    </row>
    <row r="4" spans="1:8" ht="15" customHeight="1" x14ac:dyDescent="0.2">
      <c r="A4" s="378"/>
      <c r="B4" s="369"/>
      <c r="C4" s="380"/>
      <c r="D4" s="34" t="s">
        <v>85</v>
      </c>
      <c r="E4" s="227" t="s">
        <v>25</v>
      </c>
      <c r="F4" s="192"/>
      <c r="G4" s="204">
        <v>1</v>
      </c>
      <c r="H4" s="205">
        <v>2</v>
      </c>
    </row>
    <row r="5" spans="1:8" ht="15" customHeight="1" x14ac:dyDescent="0.2">
      <c r="A5" s="378"/>
      <c r="B5" s="369"/>
      <c r="C5" s="374" t="s">
        <v>35</v>
      </c>
      <c r="D5" s="34" t="s">
        <v>86</v>
      </c>
      <c r="E5" s="227" t="s">
        <v>25</v>
      </c>
      <c r="F5" s="192"/>
      <c r="G5" s="204">
        <v>1</v>
      </c>
      <c r="H5" s="205">
        <v>2</v>
      </c>
    </row>
    <row r="6" spans="1:8" ht="15" customHeight="1" x14ac:dyDescent="0.2">
      <c r="A6" s="378"/>
      <c r="B6" s="369"/>
      <c r="C6" s="375"/>
      <c r="D6" s="34" t="s">
        <v>87</v>
      </c>
      <c r="E6" s="227" t="s">
        <v>25</v>
      </c>
      <c r="F6" s="192"/>
      <c r="G6" s="204">
        <v>1</v>
      </c>
      <c r="H6" s="205">
        <v>2</v>
      </c>
    </row>
    <row r="7" spans="1:8" ht="15" customHeight="1" x14ac:dyDescent="0.2">
      <c r="A7" s="378"/>
      <c r="B7" s="369"/>
      <c r="C7" s="380"/>
      <c r="D7" s="34" t="s">
        <v>88</v>
      </c>
      <c r="E7" s="227" t="s">
        <v>25</v>
      </c>
      <c r="F7" s="192"/>
      <c r="G7" s="204">
        <v>1</v>
      </c>
      <c r="H7" s="205">
        <v>2</v>
      </c>
    </row>
    <row r="8" spans="1:8" ht="15" customHeight="1" x14ac:dyDescent="0.2">
      <c r="A8" s="378"/>
      <c r="B8" s="370"/>
      <c r="C8" s="36" t="s">
        <v>36</v>
      </c>
      <c r="D8" s="34" t="s">
        <v>37</v>
      </c>
      <c r="E8" s="227" t="s">
        <v>25</v>
      </c>
      <c r="F8" s="192"/>
      <c r="G8" s="204">
        <v>3</v>
      </c>
      <c r="H8" s="205">
        <v>3</v>
      </c>
    </row>
    <row r="9" spans="1:8" ht="15.75" customHeight="1" thickBot="1" x14ac:dyDescent="0.25">
      <c r="A9" s="379"/>
      <c r="B9" s="37" t="s">
        <v>38</v>
      </c>
      <c r="C9" s="38" t="s">
        <v>35</v>
      </c>
      <c r="D9" s="39" t="s">
        <v>39</v>
      </c>
      <c r="E9" s="40"/>
      <c r="F9" s="193"/>
      <c r="G9" s="201" t="s">
        <v>243</v>
      </c>
      <c r="H9" s="200" t="s">
        <v>243</v>
      </c>
    </row>
    <row r="10" spans="1:8" ht="15" customHeight="1" x14ac:dyDescent="0.2">
      <c r="A10" s="377" t="s">
        <v>40</v>
      </c>
      <c r="B10" s="368" t="s">
        <v>41</v>
      </c>
      <c r="C10" s="384" t="s">
        <v>35</v>
      </c>
      <c r="D10" s="33" t="s">
        <v>75</v>
      </c>
      <c r="E10" s="226" t="s">
        <v>25</v>
      </c>
      <c r="F10" s="191"/>
      <c r="G10" s="206" t="s">
        <v>243</v>
      </c>
      <c r="H10" s="203">
        <v>4</v>
      </c>
    </row>
    <row r="11" spans="1:8" ht="15" customHeight="1" x14ac:dyDescent="0.2">
      <c r="A11" s="378"/>
      <c r="B11" s="369"/>
      <c r="C11" s="375"/>
      <c r="D11" s="34" t="s">
        <v>89</v>
      </c>
      <c r="E11" s="227" t="s">
        <v>25</v>
      </c>
      <c r="F11" s="192"/>
      <c r="G11" s="207" t="s">
        <v>243</v>
      </c>
      <c r="H11" s="205">
        <v>4</v>
      </c>
    </row>
    <row r="12" spans="1:8" ht="15" customHeight="1" x14ac:dyDescent="0.2">
      <c r="A12" s="378"/>
      <c r="B12" s="369"/>
      <c r="C12" s="375"/>
      <c r="D12" s="34" t="s">
        <v>76</v>
      </c>
      <c r="E12" s="227" t="s">
        <v>25</v>
      </c>
      <c r="F12" s="192"/>
      <c r="G12" s="207" t="s">
        <v>243</v>
      </c>
      <c r="H12" s="205">
        <v>4</v>
      </c>
    </row>
    <row r="13" spans="1:8" ht="15" customHeight="1" x14ac:dyDescent="0.2">
      <c r="A13" s="378"/>
      <c r="B13" s="370"/>
      <c r="C13" s="380"/>
      <c r="D13" s="34" t="s">
        <v>90</v>
      </c>
      <c r="E13" s="227" t="s">
        <v>25</v>
      </c>
      <c r="F13" s="192"/>
      <c r="G13" s="207" t="s">
        <v>243</v>
      </c>
      <c r="H13" s="205">
        <v>4</v>
      </c>
    </row>
    <row r="14" spans="1:8" ht="15" customHeight="1" x14ac:dyDescent="0.2">
      <c r="A14" s="378"/>
      <c r="B14" s="383" t="s">
        <v>42</v>
      </c>
      <c r="C14" s="374" t="s">
        <v>35</v>
      </c>
      <c r="D14" s="34" t="s">
        <v>91</v>
      </c>
      <c r="E14" s="227" t="s">
        <v>25</v>
      </c>
      <c r="F14" s="192"/>
      <c r="G14" s="207" t="s">
        <v>243</v>
      </c>
      <c r="H14" s="205">
        <v>4</v>
      </c>
    </row>
    <row r="15" spans="1:8" ht="15" customHeight="1" x14ac:dyDescent="0.2">
      <c r="A15" s="378"/>
      <c r="B15" s="369"/>
      <c r="C15" s="375"/>
      <c r="D15" s="34" t="s">
        <v>92</v>
      </c>
      <c r="E15" s="227" t="s">
        <v>25</v>
      </c>
      <c r="F15" s="192"/>
      <c r="G15" s="207" t="s">
        <v>243</v>
      </c>
      <c r="H15" s="205">
        <v>4</v>
      </c>
    </row>
    <row r="16" spans="1:8" ht="15" customHeight="1" x14ac:dyDescent="0.2">
      <c r="A16" s="378"/>
      <c r="B16" s="369"/>
      <c r="C16" s="375"/>
      <c r="D16" s="34" t="s">
        <v>93</v>
      </c>
      <c r="E16" s="227" t="s">
        <v>25</v>
      </c>
      <c r="F16" s="192"/>
      <c r="G16" s="207" t="s">
        <v>243</v>
      </c>
      <c r="H16" s="205">
        <v>4</v>
      </c>
    </row>
    <row r="17" spans="1:9" ht="15" customHeight="1" x14ac:dyDescent="0.2">
      <c r="A17" s="378"/>
      <c r="B17" s="369"/>
      <c r="C17" s="375"/>
      <c r="D17" s="34" t="s">
        <v>94</v>
      </c>
      <c r="E17" s="227" t="s">
        <v>25</v>
      </c>
      <c r="F17" s="192"/>
      <c r="G17" s="207" t="s">
        <v>243</v>
      </c>
      <c r="H17" s="205">
        <v>4</v>
      </c>
    </row>
    <row r="18" spans="1:9" ht="15" customHeight="1" x14ac:dyDescent="0.2">
      <c r="A18" s="378"/>
      <c r="B18" s="369"/>
      <c r="C18" s="375"/>
      <c r="D18" s="34" t="s">
        <v>95</v>
      </c>
      <c r="E18" s="227" t="s">
        <v>25</v>
      </c>
      <c r="F18" s="192"/>
      <c r="G18" s="207" t="s">
        <v>243</v>
      </c>
      <c r="H18" s="205">
        <v>4</v>
      </c>
    </row>
    <row r="19" spans="1:9" ht="15" customHeight="1" x14ac:dyDescent="0.2">
      <c r="A19" s="378"/>
      <c r="B19" s="370"/>
      <c r="C19" s="380"/>
      <c r="D19" s="34" t="s">
        <v>96</v>
      </c>
      <c r="E19" s="227" t="s">
        <v>25</v>
      </c>
      <c r="F19" s="192"/>
      <c r="G19" s="207" t="s">
        <v>243</v>
      </c>
      <c r="H19" s="205">
        <v>4</v>
      </c>
    </row>
    <row r="20" spans="1:9" ht="15" customHeight="1" x14ac:dyDescent="0.2">
      <c r="A20" s="378"/>
      <c r="B20" s="383" t="s">
        <v>43</v>
      </c>
      <c r="C20" s="374" t="s">
        <v>44</v>
      </c>
      <c r="D20" s="34" t="s">
        <v>97</v>
      </c>
      <c r="E20" s="227" t="s">
        <v>25</v>
      </c>
      <c r="F20" s="192"/>
      <c r="G20" s="207" t="s">
        <v>243</v>
      </c>
      <c r="H20" s="205">
        <v>5</v>
      </c>
    </row>
    <row r="21" spans="1:9" ht="15" customHeight="1" x14ac:dyDescent="0.2">
      <c r="A21" s="378"/>
      <c r="B21" s="369"/>
      <c r="C21" s="380"/>
      <c r="D21" s="34" t="s">
        <v>98</v>
      </c>
      <c r="E21" s="227" t="s">
        <v>25</v>
      </c>
      <c r="F21" s="192"/>
      <c r="G21" s="207" t="s">
        <v>243</v>
      </c>
      <c r="H21" s="205">
        <v>5</v>
      </c>
    </row>
    <row r="22" spans="1:9" ht="15" customHeight="1" x14ac:dyDescent="0.2">
      <c r="A22" s="378"/>
      <c r="B22" s="369"/>
      <c r="C22" s="374" t="s">
        <v>45</v>
      </c>
      <c r="D22" s="34" t="s">
        <v>46</v>
      </c>
      <c r="E22" s="35"/>
      <c r="F22" s="192" t="s">
        <v>25</v>
      </c>
      <c r="G22" s="207" t="s">
        <v>243</v>
      </c>
      <c r="H22" s="211" t="s">
        <v>243</v>
      </c>
    </row>
    <row r="23" spans="1:9" ht="15" customHeight="1" thickBot="1" x14ac:dyDescent="0.25">
      <c r="A23" s="379"/>
      <c r="B23" s="399"/>
      <c r="C23" s="376"/>
      <c r="D23" s="39" t="s">
        <v>47</v>
      </c>
      <c r="E23" s="40"/>
      <c r="F23" s="193" t="s">
        <v>25</v>
      </c>
      <c r="G23" s="201" t="s">
        <v>243</v>
      </c>
      <c r="H23" s="200" t="s">
        <v>243</v>
      </c>
    </row>
    <row r="24" spans="1:9" ht="15" customHeight="1" x14ac:dyDescent="0.2">
      <c r="A24" s="377" t="s">
        <v>48</v>
      </c>
      <c r="B24" s="385" t="s">
        <v>49</v>
      </c>
      <c r="C24" s="384" t="s">
        <v>35</v>
      </c>
      <c r="D24" s="215" t="s">
        <v>99</v>
      </c>
      <c r="E24" s="226" t="s">
        <v>25</v>
      </c>
      <c r="F24" s="191"/>
      <c r="G24" s="202">
        <v>7</v>
      </c>
      <c r="H24" s="203">
        <v>4</v>
      </c>
    </row>
    <row r="25" spans="1:9" ht="15" customHeight="1" x14ac:dyDescent="0.2">
      <c r="A25" s="378"/>
      <c r="B25" s="360"/>
      <c r="C25" s="375"/>
      <c r="D25" s="198" t="s">
        <v>100</v>
      </c>
      <c r="E25" s="227" t="s">
        <v>25</v>
      </c>
      <c r="F25" s="192"/>
      <c r="G25" s="228">
        <v>7</v>
      </c>
      <c r="H25" s="205">
        <v>4</v>
      </c>
    </row>
    <row r="26" spans="1:9" ht="15" customHeight="1" x14ac:dyDescent="0.2">
      <c r="A26" s="378"/>
      <c r="B26" s="360"/>
      <c r="C26" s="380"/>
      <c r="D26" s="198" t="s">
        <v>101</v>
      </c>
      <c r="E26" s="227" t="s">
        <v>25</v>
      </c>
      <c r="F26" s="192"/>
      <c r="G26" s="228">
        <v>7</v>
      </c>
      <c r="H26" s="205">
        <v>4</v>
      </c>
    </row>
    <row r="27" spans="1:9" ht="25.5" x14ac:dyDescent="0.2">
      <c r="A27" s="378"/>
      <c r="B27" s="361"/>
      <c r="C27" s="259" t="s">
        <v>272</v>
      </c>
      <c r="D27" s="198" t="s">
        <v>244</v>
      </c>
      <c r="E27" s="227" t="s">
        <v>25</v>
      </c>
      <c r="F27" s="199"/>
      <c r="G27" s="228">
        <v>6</v>
      </c>
      <c r="H27" s="208">
        <v>6</v>
      </c>
      <c r="I27" s="196"/>
    </row>
    <row r="28" spans="1:9" ht="18" customHeight="1" x14ac:dyDescent="0.2">
      <c r="A28" s="378"/>
      <c r="B28" s="365" t="s">
        <v>157</v>
      </c>
      <c r="C28" s="387" t="s">
        <v>44</v>
      </c>
      <c r="D28" s="198" t="s">
        <v>235</v>
      </c>
      <c r="E28" s="227" t="s">
        <v>25</v>
      </c>
      <c r="F28" s="192"/>
      <c r="G28" s="228">
        <v>6</v>
      </c>
      <c r="H28" s="205">
        <v>6</v>
      </c>
    </row>
    <row r="29" spans="1:9" ht="18" customHeight="1" x14ac:dyDescent="0.2">
      <c r="A29" s="378"/>
      <c r="B29" s="366"/>
      <c r="C29" s="380"/>
      <c r="D29" s="198" t="s">
        <v>236</v>
      </c>
      <c r="E29" s="227" t="s">
        <v>25</v>
      </c>
      <c r="F29" s="192"/>
      <c r="G29" s="228">
        <v>6</v>
      </c>
      <c r="H29" s="205">
        <v>6</v>
      </c>
    </row>
    <row r="30" spans="1:9" ht="18" customHeight="1" x14ac:dyDescent="0.2">
      <c r="A30" s="378"/>
      <c r="B30" s="366"/>
      <c r="C30" s="374" t="s">
        <v>45</v>
      </c>
      <c r="D30" s="34" t="s">
        <v>50</v>
      </c>
      <c r="E30" s="35"/>
      <c r="F30" s="192" t="s">
        <v>25</v>
      </c>
      <c r="G30" s="209" t="s">
        <v>243</v>
      </c>
      <c r="H30" s="210" t="s">
        <v>243</v>
      </c>
      <c r="I30" s="196"/>
    </row>
    <row r="31" spans="1:9" ht="18" customHeight="1" x14ac:dyDescent="0.2">
      <c r="A31" s="378"/>
      <c r="B31" s="367"/>
      <c r="C31" s="380"/>
      <c r="D31" s="34" t="s">
        <v>51</v>
      </c>
      <c r="E31" s="35"/>
      <c r="F31" s="192" t="s">
        <v>25</v>
      </c>
      <c r="G31" s="209" t="s">
        <v>243</v>
      </c>
      <c r="H31" s="210" t="s">
        <v>243</v>
      </c>
      <c r="I31" s="196"/>
    </row>
    <row r="32" spans="1:9" ht="15" customHeight="1" x14ac:dyDescent="0.2">
      <c r="A32" s="378"/>
      <c r="B32" s="383" t="s">
        <v>156</v>
      </c>
      <c r="C32" s="375" t="s">
        <v>52</v>
      </c>
      <c r="D32" s="34" t="s">
        <v>102</v>
      </c>
      <c r="E32" s="35"/>
      <c r="F32" s="192" t="s">
        <v>25</v>
      </c>
      <c r="G32" s="209" t="s">
        <v>243</v>
      </c>
      <c r="H32" s="211" t="s">
        <v>243</v>
      </c>
    </row>
    <row r="33" spans="1:9" ht="15" customHeight="1" x14ac:dyDescent="0.2">
      <c r="A33" s="378"/>
      <c r="B33" s="369"/>
      <c r="C33" s="375"/>
      <c r="D33" s="34" t="s">
        <v>103</v>
      </c>
      <c r="E33" s="35"/>
      <c r="F33" s="192" t="s">
        <v>25</v>
      </c>
      <c r="G33" s="209" t="s">
        <v>243</v>
      </c>
      <c r="H33" s="211" t="s">
        <v>243</v>
      </c>
    </row>
    <row r="34" spans="1:9" ht="15" customHeight="1" x14ac:dyDescent="0.2">
      <c r="A34" s="378"/>
      <c r="B34" s="369"/>
      <c r="C34" s="375"/>
      <c r="D34" s="34" t="s">
        <v>104</v>
      </c>
      <c r="E34" s="35"/>
      <c r="F34" s="192" t="s">
        <v>25</v>
      </c>
      <c r="G34" s="209" t="s">
        <v>243</v>
      </c>
      <c r="H34" s="211" t="s">
        <v>243</v>
      </c>
    </row>
    <row r="35" spans="1:9" ht="15" customHeight="1" x14ac:dyDescent="0.2">
      <c r="A35" s="378"/>
      <c r="B35" s="370"/>
      <c r="C35" s="380"/>
      <c r="D35" s="34" t="s">
        <v>105</v>
      </c>
      <c r="E35" s="35"/>
      <c r="F35" s="192" t="s">
        <v>25</v>
      </c>
      <c r="G35" s="209" t="s">
        <v>243</v>
      </c>
      <c r="H35" s="211" t="s">
        <v>243</v>
      </c>
    </row>
    <row r="36" spans="1:9" ht="18" customHeight="1" x14ac:dyDescent="0.2">
      <c r="A36" s="378"/>
      <c r="B36" s="359" t="s">
        <v>53</v>
      </c>
      <c r="C36" s="374" t="s">
        <v>35</v>
      </c>
      <c r="D36" s="34" t="s">
        <v>106</v>
      </c>
      <c r="E36" s="227" t="s">
        <v>25</v>
      </c>
      <c r="F36" s="192"/>
      <c r="G36" s="228">
        <v>7</v>
      </c>
      <c r="H36" s="205">
        <v>4</v>
      </c>
    </row>
    <row r="37" spans="1:9" ht="18" customHeight="1" x14ac:dyDescent="0.2">
      <c r="A37" s="378"/>
      <c r="B37" s="360"/>
      <c r="C37" s="380"/>
      <c r="D37" s="34" t="s">
        <v>107</v>
      </c>
      <c r="E37" s="227" t="s">
        <v>25</v>
      </c>
      <c r="F37" s="192"/>
      <c r="G37" s="228">
        <v>7</v>
      </c>
      <c r="H37" s="205">
        <v>4</v>
      </c>
    </row>
    <row r="38" spans="1:9" ht="33.75" customHeight="1" x14ac:dyDescent="0.2">
      <c r="A38" s="378"/>
      <c r="B38" s="361"/>
      <c r="C38" s="260" t="s">
        <v>272</v>
      </c>
      <c r="D38" s="198" t="s">
        <v>245</v>
      </c>
      <c r="E38" s="227" t="s">
        <v>25</v>
      </c>
      <c r="F38" s="199"/>
      <c r="G38" s="228">
        <v>6</v>
      </c>
      <c r="H38" s="208">
        <v>6</v>
      </c>
      <c r="I38" s="196"/>
    </row>
    <row r="39" spans="1:9" ht="18" customHeight="1" x14ac:dyDescent="0.2">
      <c r="A39" s="378"/>
      <c r="B39" s="371" t="s">
        <v>54</v>
      </c>
      <c r="C39" s="362" t="s">
        <v>44</v>
      </c>
      <c r="D39" s="198" t="s">
        <v>108</v>
      </c>
      <c r="E39" s="227" t="s">
        <v>25</v>
      </c>
      <c r="F39" s="192"/>
      <c r="G39" s="228">
        <v>6</v>
      </c>
      <c r="H39" s="205">
        <v>6</v>
      </c>
    </row>
    <row r="40" spans="1:9" ht="18" customHeight="1" x14ac:dyDescent="0.2">
      <c r="A40" s="378"/>
      <c r="B40" s="381"/>
      <c r="C40" s="382"/>
      <c r="D40" s="198" t="s">
        <v>109</v>
      </c>
      <c r="E40" s="227" t="s">
        <v>25</v>
      </c>
      <c r="F40" s="192"/>
      <c r="G40" s="228">
        <v>6</v>
      </c>
      <c r="H40" s="205">
        <v>6</v>
      </c>
    </row>
    <row r="41" spans="1:9" ht="15" customHeight="1" x14ac:dyDescent="0.2">
      <c r="A41" s="378"/>
      <c r="B41" s="365" t="s">
        <v>55</v>
      </c>
      <c r="C41" s="362" t="s">
        <v>206</v>
      </c>
      <c r="D41" s="198" t="s">
        <v>110</v>
      </c>
      <c r="E41" s="227" t="s">
        <v>25</v>
      </c>
      <c r="F41" s="192"/>
      <c r="G41" s="228">
        <v>7</v>
      </c>
      <c r="H41" s="205">
        <v>4</v>
      </c>
    </row>
    <row r="42" spans="1:9" ht="15" customHeight="1" x14ac:dyDescent="0.2">
      <c r="A42" s="378"/>
      <c r="B42" s="366"/>
      <c r="C42" s="363"/>
      <c r="D42" s="198" t="s">
        <v>111</v>
      </c>
      <c r="E42" s="227" t="s">
        <v>25</v>
      </c>
      <c r="F42" s="192"/>
      <c r="G42" s="228">
        <v>7</v>
      </c>
      <c r="H42" s="205">
        <v>4</v>
      </c>
    </row>
    <row r="43" spans="1:9" ht="15" customHeight="1" x14ac:dyDescent="0.2">
      <c r="A43" s="378"/>
      <c r="B43" s="366"/>
      <c r="C43" s="363"/>
      <c r="D43" s="198" t="s">
        <v>112</v>
      </c>
      <c r="E43" s="227" t="s">
        <v>25</v>
      </c>
      <c r="F43" s="192"/>
      <c r="G43" s="228">
        <v>7</v>
      </c>
      <c r="H43" s="205">
        <v>4</v>
      </c>
    </row>
    <row r="44" spans="1:9" ht="15" customHeight="1" x14ac:dyDescent="0.2">
      <c r="A44" s="378"/>
      <c r="B44" s="366"/>
      <c r="C44" s="363"/>
      <c r="D44" s="198" t="s">
        <v>113</v>
      </c>
      <c r="E44" s="227" t="s">
        <v>25</v>
      </c>
      <c r="F44" s="192"/>
      <c r="G44" s="228">
        <v>7</v>
      </c>
      <c r="H44" s="205">
        <v>4</v>
      </c>
      <c r="I44" s="196"/>
    </row>
    <row r="45" spans="1:9" ht="15" customHeight="1" x14ac:dyDescent="0.2">
      <c r="A45" s="378"/>
      <c r="B45" s="366"/>
      <c r="C45" s="363"/>
      <c r="D45" s="198" t="s">
        <v>77</v>
      </c>
      <c r="E45" s="227" t="s">
        <v>25</v>
      </c>
      <c r="F45" s="192"/>
      <c r="G45" s="228">
        <v>7</v>
      </c>
      <c r="H45" s="205">
        <v>4</v>
      </c>
    </row>
    <row r="46" spans="1:9" ht="15" customHeight="1" x14ac:dyDescent="0.2">
      <c r="A46" s="378"/>
      <c r="B46" s="366"/>
      <c r="C46" s="364"/>
      <c r="D46" s="198" t="s">
        <v>114</v>
      </c>
      <c r="E46" s="227" t="s">
        <v>25</v>
      </c>
      <c r="F46" s="192"/>
      <c r="G46" s="228">
        <v>7</v>
      </c>
      <c r="H46" s="205">
        <v>4</v>
      </c>
    </row>
    <row r="47" spans="1:9" ht="15" customHeight="1" x14ac:dyDescent="0.2">
      <c r="A47" s="378"/>
      <c r="B47" s="366"/>
      <c r="C47" s="362" t="s">
        <v>246</v>
      </c>
      <c r="D47" s="198" t="s">
        <v>110</v>
      </c>
      <c r="E47" s="227" t="s">
        <v>25</v>
      </c>
      <c r="F47" s="192"/>
      <c r="G47" s="228">
        <v>6</v>
      </c>
      <c r="H47" s="205">
        <v>6</v>
      </c>
    </row>
    <row r="48" spans="1:9" ht="15" customHeight="1" x14ac:dyDescent="0.2">
      <c r="A48" s="378"/>
      <c r="B48" s="366"/>
      <c r="C48" s="363"/>
      <c r="D48" s="198" t="s">
        <v>111</v>
      </c>
      <c r="E48" s="227" t="s">
        <v>25</v>
      </c>
      <c r="F48" s="192"/>
      <c r="G48" s="228">
        <v>6</v>
      </c>
      <c r="H48" s="205">
        <v>6</v>
      </c>
    </row>
    <row r="49" spans="1:9" ht="15" customHeight="1" x14ac:dyDescent="0.2">
      <c r="A49" s="378"/>
      <c r="B49" s="366"/>
      <c r="C49" s="363"/>
      <c r="D49" s="198" t="s">
        <v>112</v>
      </c>
      <c r="E49" s="227" t="s">
        <v>25</v>
      </c>
      <c r="F49" s="192"/>
      <c r="G49" s="228">
        <v>6</v>
      </c>
      <c r="H49" s="205">
        <v>6</v>
      </c>
    </row>
    <row r="50" spans="1:9" ht="15" customHeight="1" x14ac:dyDescent="0.2">
      <c r="A50" s="378"/>
      <c r="B50" s="366"/>
      <c r="C50" s="363"/>
      <c r="D50" s="198" t="s">
        <v>113</v>
      </c>
      <c r="E50" s="227" t="s">
        <v>25</v>
      </c>
      <c r="F50" s="192"/>
      <c r="G50" s="228">
        <v>6</v>
      </c>
      <c r="H50" s="205">
        <v>6</v>
      </c>
      <c r="I50" s="196"/>
    </row>
    <row r="51" spans="1:9" ht="15" customHeight="1" x14ac:dyDescent="0.2">
      <c r="A51" s="378"/>
      <c r="B51" s="366"/>
      <c r="C51" s="363"/>
      <c r="D51" s="198" t="s">
        <v>77</v>
      </c>
      <c r="E51" s="227" t="s">
        <v>25</v>
      </c>
      <c r="F51" s="192"/>
      <c r="G51" s="228">
        <v>6</v>
      </c>
      <c r="H51" s="205">
        <v>6</v>
      </c>
    </row>
    <row r="52" spans="1:9" ht="15" customHeight="1" x14ac:dyDescent="0.2">
      <c r="A52" s="378"/>
      <c r="B52" s="367"/>
      <c r="C52" s="364"/>
      <c r="D52" s="198" t="s">
        <v>114</v>
      </c>
      <c r="E52" s="227" t="s">
        <v>25</v>
      </c>
      <c r="F52" s="192"/>
      <c r="G52" s="228">
        <v>6</v>
      </c>
      <c r="H52" s="205">
        <v>6</v>
      </c>
    </row>
    <row r="53" spans="1:9" ht="18.95" customHeight="1" x14ac:dyDescent="0.2">
      <c r="A53" s="378"/>
      <c r="B53" s="371" t="s">
        <v>56</v>
      </c>
      <c r="C53" s="374" t="s">
        <v>52</v>
      </c>
      <c r="D53" s="34" t="s">
        <v>115</v>
      </c>
      <c r="E53" s="35"/>
      <c r="F53" s="192" t="s">
        <v>25</v>
      </c>
      <c r="G53" s="209" t="s">
        <v>243</v>
      </c>
      <c r="H53" s="211" t="s">
        <v>243</v>
      </c>
    </row>
    <row r="54" spans="1:9" ht="18.95" customHeight="1" x14ac:dyDescent="0.2">
      <c r="A54" s="378"/>
      <c r="B54" s="372"/>
      <c r="C54" s="375"/>
      <c r="D54" s="34" t="s">
        <v>116</v>
      </c>
      <c r="E54" s="35"/>
      <c r="F54" s="192" t="s">
        <v>25</v>
      </c>
      <c r="G54" s="207" t="s">
        <v>243</v>
      </c>
      <c r="H54" s="211" t="s">
        <v>243</v>
      </c>
    </row>
    <row r="55" spans="1:9" ht="18.95" customHeight="1" thickBot="1" x14ac:dyDescent="0.25">
      <c r="A55" s="379"/>
      <c r="B55" s="373"/>
      <c r="C55" s="376"/>
      <c r="D55" s="39" t="s">
        <v>78</v>
      </c>
      <c r="E55" s="40"/>
      <c r="F55" s="193" t="s">
        <v>25</v>
      </c>
      <c r="G55" s="201" t="s">
        <v>243</v>
      </c>
      <c r="H55" s="200" t="s">
        <v>243</v>
      </c>
    </row>
    <row r="56" spans="1:9" ht="15" customHeight="1" x14ac:dyDescent="0.2">
      <c r="A56" s="377" t="s">
        <v>57</v>
      </c>
      <c r="B56" s="368" t="s">
        <v>58</v>
      </c>
      <c r="C56" s="384" t="s">
        <v>52</v>
      </c>
      <c r="D56" s="41" t="s">
        <v>59</v>
      </c>
      <c r="E56" s="42"/>
      <c r="F56" s="194" t="s">
        <v>25</v>
      </c>
      <c r="G56" s="212" t="s">
        <v>243</v>
      </c>
      <c r="H56" s="213" t="s">
        <v>243</v>
      </c>
    </row>
    <row r="57" spans="1:9" ht="15" customHeight="1" x14ac:dyDescent="0.2">
      <c r="A57" s="378"/>
      <c r="B57" s="369"/>
      <c r="C57" s="375"/>
      <c r="D57" s="34" t="s">
        <v>60</v>
      </c>
      <c r="E57" s="35"/>
      <c r="F57" s="192" t="s">
        <v>25</v>
      </c>
      <c r="G57" s="207" t="s">
        <v>243</v>
      </c>
      <c r="H57" s="211" t="s">
        <v>243</v>
      </c>
    </row>
    <row r="58" spans="1:9" ht="15" customHeight="1" x14ac:dyDescent="0.2">
      <c r="A58" s="378"/>
      <c r="B58" s="369"/>
      <c r="C58" s="375"/>
      <c r="D58" s="34" t="s">
        <v>61</v>
      </c>
      <c r="E58" s="35"/>
      <c r="F58" s="192" t="s">
        <v>25</v>
      </c>
      <c r="G58" s="207" t="s">
        <v>243</v>
      </c>
      <c r="H58" s="211" t="s">
        <v>243</v>
      </c>
    </row>
    <row r="59" spans="1:9" ht="15" customHeight="1" x14ac:dyDescent="0.2">
      <c r="A59" s="378"/>
      <c r="B59" s="369"/>
      <c r="C59" s="375"/>
      <c r="D59" s="34" t="s">
        <v>62</v>
      </c>
      <c r="E59" s="35"/>
      <c r="F59" s="192" t="s">
        <v>25</v>
      </c>
      <c r="G59" s="207" t="s">
        <v>243</v>
      </c>
      <c r="H59" s="211" t="s">
        <v>243</v>
      </c>
    </row>
    <row r="60" spans="1:9" ht="15" customHeight="1" x14ac:dyDescent="0.2">
      <c r="A60" s="378"/>
      <c r="B60" s="369"/>
      <c r="C60" s="375"/>
      <c r="D60" s="34" t="s">
        <v>117</v>
      </c>
      <c r="E60" s="35"/>
      <c r="F60" s="192" t="s">
        <v>25</v>
      </c>
      <c r="G60" s="207" t="s">
        <v>243</v>
      </c>
      <c r="H60" s="211" t="s">
        <v>243</v>
      </c>
    </row>
    <row r="61" spans="1:9" ht="15" customHeight="1" x14ac:dyDescent="0.2">
      <c r="A61" s="378"/>
      <c r="B61" s="369"/>
      <c r="C61" s="375"/>
      <c r="D61" s="34" t="s">
        <v>118</v>
      </c>
      <c r="E61" s="35"/>
      <c r="F61" s="192" t="s">
        <v>25</v>
      </c>
      <c r="G61" s="207" t="s">
        <v>243</v>
      </c>
      <c r="H61" s="211" t="s">
        <v>243</v>
      </c>
    </row>
    <row r="62" spans="1:9" ht="15" customHeight="1" x14ac:dyDescent="0.2">
      <c r="A62" s="378"/>
      <c r="B62" s="369"/>
      <c r="C62" s="375"/>
      <c r="D62" s="34" t="s">
        <v>119</v>
      </c>
      <c r="E62" s="35"/>
      <c r="F62" s="192" t="s">
        <v>25</v>
      </c>
      <c r="G62" s="207" t="s">
        <v>243</v>
      </c>
      <c r="H62" s="211" t="s">
        <v>243</v>
      </c>
    </row>
    <row r="63" spans="1:9" ht="15" customHeight="1" x14ac:dyDescent="0.2">
      <c r="A63" s="378"/>
      <c r="B63" s="370"/>
      <c r="C63" s="380"/>
      <c r="D63" s="34" t="s">
        <v>120</v>
      </c>
      <c r="E63" s="35"/>
      <c r="F63" s="192" t="s">
        <v>25</v>
      </c>
      <c r="G63" s="207" t="s">
        <v>243</v>
      </c>
      <c r="H63" s="211" t="s">
        <v>243</v>
      </c>
    </row>
    <row r="64" spans="1:9" ht="15" customHeight="1" x14ac:dyDescent="0.2">
      <c r="A64" s="378"/>
      <c r="B64" s="371" t="s">
        <v>63</v>
      </c>
      <c r="C64" s="374" t="s">
        <v>52</v>
      </c>
      <c r="D64" s="34" t="s">
        <v>121</v>
      </c>
      <c r="E64" s="35"/>
      <c r="F64" s="192" t="s">
        <v>25</v>
      </c>
      <c r="G64" s="207" t="s">
        <v>243</v>
      </c>
      <c r="H64" s="211" t="s">
        <v>243</v>
      </c>
    </row>
    <row r="65" spans="1:8" ht="15" customHeight="1" x14ac:dyDescent="0.2">
      <c r="A65" s="378"/>
      <c r="B65" s="372"/>
      <c r="C65" s="375"/>
      <c r="D65" s="34" t="s">
        <v>122</v>
      </c>
      <c r="E65" s="35"/>
      <c r="F65" s="192" t="s">
        <v>25</v>
      </c>
      <c r="G65" s="207" t="s">
        <v>243</v>
      </c>
      <c r="H65" s="211" t="s">
        <v>243</v>
      </c>
    </row>
    <row r="66" spans="1:8" ht="15" customHeight="1" x14ac:dyDescent="0.2">
      <c r="A66" s="378"/>
      <c r="B66" s="372"/>
      <c r="C66" s="375"/>
      <c r="D66" s="34" t="s">
        <v>123</v>
      </c>
      <c r="E66" s="35"/>
      <c r="F66" s="192" t="s">
        <v>25</v>
      </c>
      <c r="G66" s="207" t="s">
        <v>243</v>
      </c>
      <c r="H66" s="211" t="s">
        <v>243</v>
      </c>
    </row>
    <row r="67" spans="1:8" ht="15" customHeight="1" x14ac:dyDescent="0.2">
      <c r="A67" s="378"/>
      <c r="B67" s="381"/>
      <c r="C67" s="380"/>
      <c r="D67" s="34" t="s">
        <v>124</v>
      </c>
      <c r="E67" s="35"/>
      <c r="F67" s="192" t="s">
        <v>25</v>
      </c>
      <c r="G67" s="207" t="s">
        <v>243</v>
      </c>
      <c r="H67" s="211" t="s">
        <v>243</v>
      </c>
    </row>
    <row r="68" spans="1:8" ht="15" customHeight="1" x14ac:dyDescent="0.2">
      <c r="A68" s="378"/>
      <c r="B68" s="371" t="s">
        <v>64</v>
      </c>
      <c r="C68" s="374" t="s">
        <v>52</v>
      </c>
      <c r="D68" s="34" t="s">
        <v>65</v>
      </c>
      <c r="E68" s="35"/>
      <c r="F68" s="192" t="s">
        <v>25</v>
      </c>
      <c r="G68" s="207" t="s">
        <v>243</v>
      </c>
      <c r="H68" s="211" t="s">
        <v>243</v>
      </c>
    </row>
    <row r="69" spans="1:8" ht="15" customHeight="1" x14ac:dyDescent="0.2">
      <c r="A69" s="378"/>
      <c r="B69" s="372"/>
      <c r="C69" s="375"/>
      <c r="D69" s="34" t="s">
        <v>125</v>
      </c>
      <c r="E69" s="35"/>
      <c r="F69" s="192" t="s">
        <v>25</v>
      </c>
      <c r="G69" s="207" t="s">
        <v>243</v>
      </c>
      <c r="H69" s="211" t="s">
        <v>243</v>
      </c>
    </row>
    <row r="70" spans="1:8" ht="15" customHeight="1" x14ac:dyDescent="0.2">
      <c r="A70" s="378"/>
      <c r="B70" s="372"/>
      <c r="C70" s="375"/>
      <c r="D70" s="34" t="s">
        <v>126</v>
      </c>
      <c r="E70" s="35"/>
      <c r="F70" s="192" t="s">
        <v>25</v>
      </c>
      <c r="G70" s="207" t="s">
        <v>243</v>
      </c>
      <c r="H70" s="211" t="s">
        <v>243</v>
      </c>
    </row>
    <row r="71" spans="1:8" ht="15" customHeight="1" x14ac:dyDescent="0.2">
      <c r="A71" s="378"/>
      <c r="B71" s="381"/>
      <c r="C71" s="380"/>
      <c r="D71" s="34" t="s">
        <v>66</v>
      </c>
      <c r="E71" s="35"/>
      <c r="F71" s="192" t="s">
        <v>25</v>
      </c>
      <c r="G71" s="207" t="s">
        <v>243</v>
      </c>
      <c r="H71" s="211" t="s">
        <v>243</v>
      </c>
    </row>
    <row r="72" spans="1:8" ht="15" customHeight="1" x14ac:dyDescent="0.2">
      <c r="A72" s="378"/>
      <c r="B72" s="383" t="s">
        <v>67</v>
      </c>
      <c r="C72" s="374" t="s">
        <v>52</v>
      </c>
      <c r="D72" s="34" t="s">
        <v>79</v>
      </c>
      <c r="E72" s="35"/>
      <c r="F72" s="192" t="s">
        <v>25</v>
      </c>
      <c r="G72" s="207" t="s">
        <v>243</v>
      </c>
      <c r="H72" s="211" t="s">
        <v>243</v>
      </c>
    </row>
    <row r="73" spans="1:8" ht="15" customHeight="1" x14ac:dyDescent="0.2">
      <c r="A73" s="378"/>
      <c r="B73" s="369"/>
      <c r="C73" s="375"/>
      <c r="D73" s="34" t="s">
        <v>80</v>
      </c>
      <c r="E73" s="35"/>
      <c r="F73" s="192" t="s">
        <v>25</v>
      </c>
      <c r="G73" s="207" t="s">
        <v>243</v>
      </c>
      <c r="H73" s="211" t="s">
        <v>243</v>
      </c>
    </row>
    <row r="74" spans="1:8" ht="15" customHeight="1" x14ac:dyDescent="0.2">
      <c r="A74" s="378"/>
      <c r="B74" s="369"/>
      <c r="C74" s="375"/>
      <c r="D74" s="34" t="s">
        <v>81</v>
      </c>
      <c r="E74" s="35"/>
      <c r="F74" s="192" t="s">
        <v>25</v>
      </c>
      <c r="G74" s="207" t="s">
        <v>243</v>
      </c>
      <c r="H74" s="211" t="s">
        <v>243</v>
      </c>
    </row>
    <row r="75" spans="1:8" ht="15" customHeight="1" x14ac:dyDescent="0.2">
      <c r="A75" s="378"/>
      <c r="B75" s="369"/>
      <c r="C75" s="375"/>
      <c r="D75" s="34" t="s">
        <v>82</v>
      </c>
      <c r="E75" s="35"/>
      <c r="F75" s="192" t="s">
        <v>25</v>
      </c>
      <c r="G75" s="207" t="s">
        <v>243</v>
      </c>
      <c r="H75" s="211" t="s">
        <v>243</v>
      </c>
    </row>
    <row r="76" spans="1:8" ht="15" customHeight="1" x14ac:dyDescent="0.2">
      <c r="A76" s="378"/>
      <c r="B76" s="369"/>
      <c r="C76" s="375"/>
      <c r="D76" s="34" t="s">
        <v>127</v>
      </c>
      <c r="E76" s="35"/>
      <c r="F76" s="192" t="s">
        <v>25</v>
      </c>
      <c r="G76" s="207" t="s">
        <v>243</v>
      </c>
      <c r="H76" s="211" t="s">
        <v>243</v>
      </c>
    </row>
    <row r="77" spans="1:8" ht="15" customHeight="1" x14ac:dyDescent="0.2">
      <c r="A77" s="378"/>
      <c r="B77" s="369"/>
      <c r="C77" s="375"/>
      <c r="D77" s="34" t="s">
        <v>128</v>
      </c>
      <c r="E77" s="35"/>
      <c r="F77" s="192" t="s">
        <v>25</v>
      </c>
      <c r="G77" s="207" t="s">
        <v>243</v>
      </c>
      <c r="H77" s="211" t="s">
        <v>243</v>
      </c>
    </row>
    <row r="78" spans="1:8" ht="15" customHeight="1" x14ac:dyDescent="0.2">
      <c r="A78" s="378"/>
      <c r="B78" s="369"/>
      <c r="C78" s="375"/>
      <c r="D78" s="34" t="s">
        <v>129</v>
      </c>
      <c r="E78" s="35"/>
      <c r="F78" s="192" t="s">
        <v>25</v>
      </c>
      <c r="G78" s="207" t="s">
        <v>243</v>
      </c>
      <c r="H78" s="211" t="s">
        <v>243</v>
      </c>
    </row>
    <row r="79" spans="1:8" ht="15" customHeight="1" x14ac:dyDescent="0.2">
      <c r="A79" s="378"/>
      <c r="B79" s="370"/>
      <c r="C79" s="380"/>
      <c r="D79" s="34" t="s">
        <v>130</v>
      </c>
      <c r="E79" s="35"/>
      <c r="F79" s="192" t="s">
        <v>25</v>
      </c>
      <c r="G79" s="207" t="s">
        <v>243</v>
      </c>
      <c r="H79" s="211" t="s">
        <v>243</v>
      </c>
    </row>
    <row r="80" spans="1:8" ht="15" customHeight="1" x14ac:dyDescent="0.2">
      <c r="A80" s="378"/>
      <c r="B80" s="383" t="s">
        <v>68</v>
      </c>
      <c r="C80" s="374" t="s">
        <v>52</v>
      </c>
      <c r="D80" s="34" t="s">
        <v>131</v>
      </c>
      <c r="E80" s="35"/>
      <c r="F80" s="192" t="s">
        <v>25</v>
      </c>
      <c r="G80" s="207" t="s">
        <v>243</v>
      </c>
      <c r="H80" s="211" t="s">
        <v>243</v>
      </c>
    </row>
    <row r="81" spans="1:13" ht="15" customHeight="1" x14ac:dyDescent="0.2">
      <c r="A81" s="378"/>
      <c r="B81" s="369"/>
      <c r="C81" s="375"/>
      <c r="D81" s="34" t="s">
        <v>132</v>
      </c>
      <c r="E81" s="35"/>
      <c r="F81" s="192" t="s">
        <v>25</v>
      </c>
      <c r="G81" s="207" t="s">
        <v>243</v>
      </c>
      <c r="H81" s="211" t="s">
        <v>243</v>
      </c>
    </row>
    <row r="82" spans="1:13" ht="15" customHeight="1" x14ac:dyDescent="0.2">
      <c r="A82" s="378"/>
      <c r="B82" s="369"/>
      <c r="C82" s="375"/>
      <c r="D82" s="34" t="s">
        <v>133</v>
      </c>
      <c r="E82" s="35"/>
      <c r="F82" s="192" t="s">
        <v>25</v>
      </c>
      <c r="G82" s="207" t="s">
        <v>243</v>
      </c>
      <c r="H82" s="211" t="s">
        <v>243</v>
      </c>
    </row>
    <row r="83" spans="1:13" ht="15" customHeight="1" x14ac:dyDescent="0.2">
      <c r="A83" s="378"/>
      <c r="B83" s="369"/>
      <c r="C83" s="375"/>
      <c r="D83" s="34" t="s">
        <v>134</v>
      </c>
      <c r="E83" s="35"/>
      <c r="F83" s="192" t="s">
        <v>25</v>
      </c>
      <c r="G83" s="207" t="s">
        <v>243</v>
      </c>
      <c r="H83" s="211" t="s">
        <v>243</v>
      </c>
    </row>
    <row r="84" spans="1:13" ht="15" customHeight="1" x14ac:dyDescent="0.2">
      <c r="A84" s="378"/>
      <c r="B84" s="369"/>
      <c r="C84" s="375"/>
      <c r="D84" s="34" t="s">
        <v>135</v>
      </c>
      <c r="E84" s="35"/>
      <c r="F84" s="192" t="s">
        <v>25</v>
      </c>
      <c r="G84" s="207" t="s">
        <v>243</v>
      </c>
      <c r="H84" s="211" t="s">
        <v>243</v>
      </c>
    </row>
    <row r="85" spans="1:13" ht="15" customHeight="1" x14ac:dyDescent="0.2">
      <c r="A85" s="378"/>
      <c r="B85" s="369"/>
      <c r="C85" s="375"/>
      <c r="D85" s="34" t="s">
        <v>136</v>
      </c>
      <c r="E85" s="35"/>
      <c r="F85" s="192" t="s">
        <v>25</v>
      </c>
      <c r="G85" s="207" t="s">
        <v>243</v>
      </c>
      <c r="H85" s="211" t="s">
        <v>243</v>
      </c>
    </row>
    <row r="86" spans="1:13" ht="15" customHeight="1" x14ac:dyDescent="0.2">
      <c r="A86" s="378"/>
      <c r="B86" s="369"/>
      <c r="C86" s="375"/>
      <c r="D86" s="34" t="s">
        <v>137</v>
      </c>
      <c r="E86" s="35"/>
      <c r="F86" s="192" t="s">
        <v>25</v>
      </c>
      <c r="G86" s="207" t="s">
        <v>243</v>
      </c>
      <c r="H86" s="211" t="s">
        <v>243</v>
      </c>
    </row>
    <row r="87" spans="1:13" ht="15" customHeight="1" x14ac:dyDescent="0.2">
      <c r="A87" s="378"/>
      <c r="B87" s="370"/>
      <c r="C87" s="380"/>
      <c r="D87" s="34" t="s">
        <v>138</v>
      </c>
      <c r="E87" s="35"/>
      <c r="F87" s="192" t="s">
        <v>25</v>
      </c>
      <c r="G87" s="207" t="s">
        <v>243</v>
      </c>
      <c r="H87" s="211" t="s">
        <v>243</v>
      </c>
    </row>
    <row r="88" spans="1:13" ht="15" customHeight="1" x14ac:dyDescent="0.2">
      <c r="A88" s="378"/>
      <c r="B88" s="383" t="s">
        <v>69</v>
      </c>
      <c r="C88" s="374" t="s">
        <v>52</v>
      </c>
      <c r="D88" s="34" t="s">
        <v>139</v>
      </c>
      <c r="E88" s="35"/>
      <c r="F88" s="192" t="s">
        <v>25</v>
      </c>
      <c r="G88" s="207" t="s">
        <v>243</v>
      </c>
      <c r="H88" s="211" t="s">
        <v>243</v>
      </c>
    </row>
    <row r="89" spans="1:13" ht="15" customHeight="1" x14ac:dyDescent="0.2">
      <c r="A89" s="378"/>
      <c r="B89" s="369"/>
      <c r="C89" s="375"/>
      <c r="D89" s="34" t="s">
        <v>140</v>
      </c>
      <c r="E89" s="35"/>
      <c r="F89" s="192" t="s">
        <v>25</v>
      </c>
      <c r="G89" s="207" t="s">
        <v>243</v>
      </c>
      <c r="H89" s="211" t="s">
        <v>243</v>
      </c>
    </row>
    <row r="90" spans="1:13" ht="15" customHeight="1" x14ac:dyDescent="0.2">
      <c r="A90" s="378"/>
      <c r="B90" s="369"/>
      <c r="C90" s="375"/>
      <c r="D90" s="34" t="s">
        <v>141</v>
      </c>
      <c r="E90" s="35"/>
      <c r="F90" s="192" t="s">
        <v>25</v>
      </c>
      <c r="G90" s="207" t="s">
        <v>243</v>
      </c>
      <c r="H90" s="211" t="s">
        <v>243</v>
      </c>
    </row>
    <row r="91" spans="1:13" ht="15" customHeight="1" x14ac:dyDescent="0.2">
      <c r="A91" s="378"/>
      <c r="B91" s="370"/>
      <c r="C91" s="380"/>
      <c r="D91" s="34" t="s">
        <v>142</v>
      </c>
      <c r="E91" s="35"/>
      <c r="F91" s="192" t="s">
        <v>25</v>
      </c>
      <c r="G91" s="207" t="s">
        <v>243</v>
      </c>
      <c r="H91" s="211" t="s">
        <v>243</v>
      </c>
    </row>
    <row r="92" spans="1:13" ht="15" customHeight="1" x14ac:dyDescent="0.2">
      <c r="A92" s="378"/>
      <c r="B92" s="383" t="s">
        <v>70</v>
      </c>
      <c r="C92" s="374" t="s">
        <v>52</v>
      </c>
      <c r="D92" s="34" t="s">
        <v>143</v>
      </c>
      <c r="E92" s="35"/>
      <c r="F92" s="192" t="s">
        <v>25</v>
      </c>
      <c r="G92" s="207" t="s">
        <v>243</v>
      </c>
      <c r="H92" s="211" t="s">
        <v>243</v>
      </c>
    </row>
    <row r="93" spans="1:13" ht="15" customHeight="1" x14ac:dyDescent="0.2">
      <c r="A93" s="378"/>
      <c r="B93" s="369"/>
      <c r="C93" s="375"/>
      <c r="D93" s="34" t="s">
        <v>144</v>
      </c>
      <c r="E93" s="35"/>
      <c r="F93" s="192" t="s">
        <v>25</v>
      </c>
      <c r="G93" s="207" t="s">
        <v>243</v>
      </c>
      <c r="H93" s="211" t="s">
        <v>243</v>
      </c>
    </row>
    <row r="94" spans="1:13" ht="15" customHeight="1" x14ac:dyDescent="0.2">
      <c r="A94" s="378"/>
      <c r="B94" s="369"/>
      <c r="C94" s="375"/>
      <c r="D94" s="34" t="s">
        <v>145</v>
      </c>
      <c r="E94" s="35"/>
      <c r="F94" s="192" t="s">
        <v>25</v>
      </c>
      <c r="G94" s="207" t="s">
        <v>243</v>
      </c>
      <c r="H94" s="211" t="s">
        <v>243</v>
      </c>
    </row>
    <row r="95" spans="1:13" ht="15" customHeight="1" thickBot="1" x14ac:dyDescent="0.25">
      <c r="A95" s="379"/>
      <c r="B95" s="399"/>
      <c r="C95" s="376"/>
      <c r="D95" s="39" t="s">
        <v>146</v>
      </c>
      <c r="E95" s="40"/>
      <c r="F95" s="193" t="s">
        <v>25</v>
      </c>
      <c r="G95" s="201" t="s">
        <v>243</v>
      </c>
      <c r="H95" s="200" t="s">
        <v>243</v>
      </c>
    </row>
    <row r="96" spans="1:13" x14ac:dyDescent="0.2">
      <c r="A96" s="388" t="s">
        <v>147</v>
      </c>
      <c r="B96" s="393" t="s">
        <v>148</v>
      </c>
      <c r="C96" s="394"/>
      <c r="D96" s="46" t="s">
        <v>149</v>
      </c>
      <c r="E96" s="47"/>
      <c r="F96" s="191" t="s">
        <v>25</v>
      </c>
      <c r="G96" s="206" t="s">
        <v>243</v>
      </c>
      <c r="H96" s="214" t="s">
        <v>243</v>
      </c>
      <c r="I96"/>
      <c r="J96"/>
      <c r="K96" s="48"/>
      <c r="M96" s="48"/>
    </row>
    <row r="97" spans="1:13" x14ac:dyDescent="0.2">
      <c r="A97" s="389"/>
      <c r="B97" s="395"/>
      <c r="C97" s="396"/>
      <c r="D97" s="49" t="s">
        <v>150</v>
      </c>
      <c r="E97" s="50"/>
      <c r="F97" s="192" t="s">
        <v>25</v>
      </c>
      <c r="G97" s="207" t="s">
        <v>243</v>
      </c>
      <c r="H97" s="211" t="s">
        <v>243</v>
      </c>
      <c r="I97"/>
      <c r="J97"/>
      <c r="K97" s="48"/>
      <c r="M97" s="48"/>
    </row>
    <row r="98" spans="1:13" x14ac:dyDescent="0.2">
      <c r="A98" s="389"/>
      <c r="B98" s="397"/>
      <c r="C98" s="398"/>
      <c r="D98" s="49" t="s">
        <v>151</v>
      </c>
      <c r="E98" s="50"/>
      <c r="F98" s="192" t="s">
        <v>25</v>
      </c>
      <c r="G98" s="207" t="s">
        <v>243</v>
      </c>
      <c r="H98" s="211" t="s">
        <v>243</v>
      </c>
      <c r="I98"/>
      <c r="J98"/>
      <c r="K98" s="48"/>
      <c r="M98" s="48"/>
    </row>
    <row r="99" spans="1:13" ht="27.75" customHeight="1" thickBot="1" x14ac:dyDescent="0.25">
      <c r="A99" s="390"/>
      <c r="B99" s="391" t="s">
        <v>154</v>
      </c>
      <c r="C99" s="392"/>
      <c r="D99" s="39" t="s">
        <v>155</v>
      </c>
      <c r="E99" s="40"/>
      <c r="F99" s="193" t="s">
        <v>25</v>
      </c>
      <c r="G99" s="201" t="s">
        <v>243</v>
      </c>
      <c r="H99" s="200" t="s">
        <v>243</v>
      </c>
    </row>
    <row r="100" spans="1:13" ht="17.25" customHeight="1" x14ac:dyDescent="0.2">
      <c r="A100" s="44" t="s">
        <v>72</v>
      </c>
      <c r="B100" s="44"/>
      <c r="C100" s="44"/>
      <c r="D100" s="45"/>
      <c r="E100" s="25"/>
      <c r="F100" s="25"/>
      <c r="G100" s="25"/>
      <c r="H100" s="25"/>
    </row>
    <row r="101" spans="1:13" ht="31.5" customHeight="1" x14ac:dyDescent="0.2">
      <c r="A101" s="386" t="s">
        <v>73</v>
      </c>
      <c r="B101" s="386"/>
      <c r="C101" s="386"/>
      <c r="D101" s="386"/>
      <c r="E101" s="386"/>
      <c r="F101" s="386"/>
      <c r="G101" s="386"/>
      <c r="H101" s="26"/>
    </row>
    <row r="102" spans="1:13" x14ac:dyDescent="0.2">
      <c r="A102" s="386" t="s">
        <v>74</v>
      </c>
      <c r="B102" s="386"/>
      <c r="C102" s="386"/>
      <c r="D102" s="386"/>
      <c r="E102" s="386"/>
      <c r="F102" s="386"/>
      <c r="G102" s="386"/>
      <c r="H102" s="26"/>
    </row>
  </sheetData>
  <mergeCells count="49">
    <mergeCell ref="A10:A23"/>
    <mergeCell ref="B10:B13"/>
    <mergeCell ref="C10:C13"/>
    <mergeCell ref="A2:A9"/>
    <mergeCell ref="B2:B8"/>
    <mergeCell ref="C2:C4"/>
    <mergeCell ref="C5:C7"/>
    <mergeCell ref="B14:B19"/>
    <mergeCell ref="C14:C19"/>
    <mergeCell ref="B20:B23"/>
    <mergeCell ref="A102:G102"/>
    <mergeCell ref="A24:A55"/>
    <mergeCell ref="C24:C26"/>
    <mergeCell ref="C28:C29"/>
    <mergeCell ref="C32:C35"/>
    <mergeCell ref="A96:A99"/>
    <mergeCell ref="B99:C99"/>
    <mergeCell ref="B96:C98"/>
    <mergeCell ref="B72:B79"/>
    <mergeCell ref="B80:B87"/>
    <mergeCell ref="A101:G101"/>
    <mergeCell ref="C80:C87"/>
    <mergeCell ref="B88:B91"/>
    <mergeCell ref="C88:C91"/>
    <mergeCell ref="B92:B95"/>
    <mergeCell ref="C92:C95"/>
    <mergeCell ref="A56:A95"/>
    <mergeCell ref="C72:C79"/>
    <mergeCell ref="C68:C71"/>
    <mergeCell ref="B68:B71"/>
    <mergeCell ref="C20:C21"/>
    <mergeCell ref="C22:C23"/>
    <mergeCell ref="B64:B67"/>
    <mergeCell ref="B28:B31"/>
    <mergeCell ref="C30:C31"/>
    <mergeCell ref="C36:C37"/>
    <mergeCell ref="B39:B40"/>
    <mergeCell ref="C39:C40"/>
    <mergeCell ref="B32:B35"/>
    <mergeCell ref="C56:C63"/>
    <mergeCell ref="C64:C67"/>
    <mergeCell ref="B24:B27"/>
    <mergeCell ref="B36:B38"/>
    <mergeCell ref="C41:C46"/>
    <mergeCell ref="B41:B52"/>
    <mergeCell ref="B56:B63"/>
    <mergeCell ref="C47:C52"/>
    <mergeCell ref="B53:B55"/>
    <mergeCell ref="C53:C55"/>
  </mergeCells>
  <phoneticPr fontId="8" type="noConversion"/>
  <printOptions horizontalCentered="1"/>
  <pageMargins left="0" right="0" top="0" bottom="0" header="0.51181102362204722" footer="0.51181102362204722"/>
  <pageSetup paperSize="5" scale="6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O84"/>
  <sheetViews>
    <sheetView showGridLines="0" tabSelected="1" zoomScaleNormal="100" workbookViewId="0">
      <selection activeCell="G8" sqref="G8"/>
    </sheetView>
  </sheetViews>
  <sheetFormatPr baseColWidth="10" defaultColWidth="11.42578125" defaultRowHeight="12.75" x14ac:dyDescent="0.2"/>
  <cols>
    <col min="1" max="1" width="11.42578125" style="1"/>
    <col min="2" max="2" width="13.28515625" style="1" customWidth="1"/>
    <col min="3" max="4" width="11.42578125" style="1"/>
    <col min="5" max="6" width="8.28515625" style="1" customWidth="1"/>
    <col min="7" max="7" width="32" style="1" customWidth="1"/>
    <col min="8" max="8" width="13" style="1" customWidth="1"/>
    <col min="9" max="9" width="14.42578125" style="1" customWidth="1"/>
    <col min="10" max="10" width="6.5703125" style="1" customWidth="1"/>
    <col min="11" max="11" width="1.85546875" style="19" customWidth="1"/>
    <col min="12" max="16384" width="11.42578125" style="1"/>
  </cols>
  <sheetData>
    <row r="1" spans="1:13" s="2" customFormat="1" ht="21.75" customHeight="1" x14ac:dyDescent="0.2">
      <c r="A1" s="22"/>
      <c r="B1" s="22"/>
      <c r="C1" s="22"/>
      <c r="D1" s="22"/>
      <c r="E1" s="22"/>
      <c r="F1" s="22"/>
      <c r="G1" s="22"/>
      <c r="H1" s="22"/>
      <c r="K1" s="271"/>
    </row>
    <row r="2" spans="1:13" s="2" customFormat="1" ht="101.25" customHeight="1" x14ac:dyDescent="0.2">
      <c r="A2" s="22"/>
      <c r="B2" s="22"/>
      <c r="C2" s="22"/>
      <c r="D2" s="310" t="s">
        <v>271</v>
      </c>
      <c r="E2" s="310"/>
      <c r="F2" s="310"/>
      <c r="G2" s="310"/>
      <c r="H2" s="310"/>
      <c r="I2" s="310"/>
      <c r="J2" s="310"/>
      <c r="K2" s="163"/>
    </row>
    <row r="4" spans="1:13" s="2" customFormat="1" ht="37.5" customHeight="1" x14ac:dyDescent="0.2">
      <c r="A4" s="312" t="s">
        <v>278</v>
      </c>
      <c r="B4" s="312"/>
      <c r="C4" s="17"/>
      <c r="D4" s="312" t="s">
        <v>161</v>
      </c>
      <c r="E4" s="312"/>
      <c r="F4" s="312"/>
      <c r="G4" s="312"/>
      <c r="H4" s="18"/>
      <c r="I4" s="312" t="s">
        <v>23</v>
      </c>
      <c r="J4" s="312"/>
      <c r="K4" s="271"/>
    </row>
    <row r="6" spans="1:13" x14ac:dyDescent="0.2">
      <c r="A6" s="1" t="s">
        <v>287</v>
      </c>
      <c r="D6" s="317"/>
      <c r="E6" s="318"/>
    </row>
    <row r="7" spans="1:13" x14ac:dyDescent="0.2">
      <c r="A7" s="1" t="s">
        <v>216</v>
      </c>
      <c r="D7" s="305"/>
      <c r="E7" s="305"/>
      <c r="F7" s="15"/>
    </row>
    <row r="8" spans="1:13" x14ac:dyDescent="0.2">
      <c r="A8" s="1" t="s">
        <v>217</v>
      </c>
      <c r="D8" s="305"/>
      <c r="E8" s="305"/>
      <c r="F8" s="15"/>
    </row>
    <row r="9" spans="1:13" x14ac:dyDescent="0.2">
      <c r="A9" s="1" t="s">
        <v>214</v>
      </c>
      <c r="D9" s="308"/>
      <c r="E9" s="309"/>
      <c r="F9" s="15"/>
    </row>
    <row r="10" spans="1:13" x14ac:dyDescent="0.2">
      <c r="D10" s="15"/>
      <c r="E10" s="15"/>
      <c r="F10" s="15"/>
      <c r="M10" s="255"/>
    </row>
    <row r="11" spans="1:13" ht="22.5" customHeight="1" x14ac:dyDescent="0.2">
      <c r="A11" s="70" t="s">
        <v>175</v>
      </c>
      <c r="B11" s="68"/>
      <c r="C11" s="68"/>
      <c r="D11" s="68"/>
      <c r="E11" s="164"/>
      <c r="F11" s="164"/>
      <c r="G11" s="68"/>
      <c r="H11" s="68"/>
      <c r="I11" s="68"/>
      <c r="J11" s="68"/>
    </row>
    <row r="12" spans="1:13" ht="15" customHeight="1" x14ac:dyDescent="0.2">
      <c r="A12" s="82"/>
      <c r="B12" s="19"/>
      <c r="C12" s="19"/>
      <c r="D12" s="165" t="s">
        <v>162</v>
      </c>
      <c r="E12" s="15"/>
      <c r="F12" s="15"/>
      <c r="G12" s="19"/>
      <c r="H12" s="83" t="s">
        <v>20</v>
      </c>
      <c r="I12" s="19"/>
      <c r="J12" s="19"/>
    </row>
    <row r="13" spans="1:13" ht="15.75" customHeight="1" thickBot="1" x14ac:dyDescent="0.25">
      <c r="A13" s="3" t="s">
        <v>174</v>
      </c>
      <c r="G13" s="3"/>
    </row>
    <row r="14" spans="1:13" ht="15" customHeight="1" thickBot="1" x14ac:dyDescent="0.25">
      <c r="A14" s="1" t="s">
        <v>237</v>
      </c>
      <c r="D14" s="139">
        <v>44</v>
      </c>
      <c r="E14" s="1" t="s">
        <v>163</v>
      </c>
      <c r="H14" s="256">
        <f xml:space="preserve"> (-0.018*$D14 + 311.6/$D14 + 3.92*EXP(-0.0069*$D14)- 0.31)  +   (4.692*D16^-0.682) - EXP(1.978-0.391*LN(D15))</f>
        <v>18.91037600847487</v>
      </c>
      <c r="I14" s="6" t="s">
        <v>167</v>
      </c>
      <c r="L14" s="10"/>
    </row>
    <row r="15" spans="1:13" ht="15" customHeight="1" x14ac:dyDescent="0.2">
      <c r="A15" s="1" t="s">
        <v>164</v>
      </c>
      <c r="D15" s="140">
        <v>9.8000000000000004E-2</v>
      </c>
      <c r="E15" s="1" t="s">
        <v>165</v>
      </c>
      <c r="H15" s="166"/>
      <c r="I15" s="6"/>
    </row>
    <row r="16" spans="1:13" ht="15" customHeight="1" thickBot="1" x14ac:dyDescent="0.25">
      <c r="A16" s="1" t="s">
        <v>185</v>
      </c>
      <c r="D16" s="141">
        <v>7.2999999999999995E-2</v>
      </c>
      <c r="E16" s="1" t="s">
        <v>165</v>
      </c>
      <c r="H16" s="14"/>
      <c r="I16" s="6"/>
    </row>
    <row r="17" spans="1:11" ht="15" customHeight="1" x14ac:dyDescent="0.2">
      <c r="E17" s="4"/>
      <c r="F17" s="4"/>
      <c r="I17" s="4"/>
      <c r="J17" s="4"/>
    </row>
    <row r="18" spans="1:11" ht="15.75" customHeight="1" x14ac:dyDescent="0.2">
      <c r="A18" s="3" t="s">
        <v>170</v>
      </c>
      <c r="E18" s="4"/>
      <c r="F18" s="4"/>
      <c r="I18" s="4"/>
      <c r="J18" s="4"/>
    </row>
    <row r="19" spans="1:11" s="57" customFormat="1" ht="15" customHeight="1" x14ac:dyDescent="0.2">
      <c r="E19" s="58"/>
      <c r="F19" s="58"/>
      <c r="I19" s="58"/>
      <c r="J19" s="58"/>
      <c r="K19" s="231"/>
    </row>
    <row r="20" spans="1:11" ht="15" customHeight="1" thickBot="1" x14ac:dyDescent="0.25">
      <c r="A20" s="56" t="s">
        <v>171</v>
      </c>
      <c r="B20" s="8"/>
      <c r="C20" s="8"/>
      <c r="D20" s="7"/>
      <c r="G20" s="55"/>
      <c r="H20" s="55"/>
      <c r="I20" s="16"/>
    </row>
    <row r="21" spans="1:11" ht="15" customHeight="1" thickBot="1" x14ac:dyDescent="0.25">
      <c r="A21" s="5" t="s">
        <v>15</v>
      </c>
      <c r="B21" s="8"/>
      <c r="C21" s="8"/>
      <c r="D21" s="142"/>
      <c r="E21" s="1" t="s">
        <v>16</v>
      </c>
      <c r="G21" s="54"/>
      <c r="H21" s="93">
        <f>IF(D21=0,0,10000*D21^-1*108.9/1000/D14)</f>
        <v>0</v>
      </c>
      <c r="I21" s="16" t="s">
        <v>167</v>
      </c>
    </row>
    <row r="22" spans="1:11" ht="15" customHeight="1" x14ac:dyDescent="0.2">
      <c r="A22" s="5"/>
      <c r="B22" s="8"/>
      <c r="C22" s="8"/>
      <c r="D22" s="117"/>
      <c r="G22" s="16"/>
      <c r="H22" s="15"/>
      <c r="I22" s="16"/>
    </row>
    <row r="23" spans="1:11" ht="15" customHeight="1" thickBot="1" x14ac:dyDescent="0.25">
      <c r="A23" s="56" t="s">
        <v>173</v>
      </c>
      <c r="B23" s="8"/>
      <c r="C23" s="8"/>
      <c r="D23" s="7"/>
    </row>
    <row r="24" spans="1:11" ht="15" thickBot="1" x14ac:dyDescent="0.25">
      <c r="A24" s="5" t="s">
        <v>172</v>
      </c>
      <c r="B24" s="8"/>
      <c r="C24" s="8"/>
      <c r="D24" s="118"/>
      <c r="E24" s="152" t="s">
        <v>212</v>
      </c>
      <c r="F24" s="152"/>
      <c r="G24" s="59"/>
      <c r="H24" s="95">
        <f>(H14+H21+H27)*D24</f>
        <v>0</v>
      </c>
      <c r="I24" s="5" t="s">
        <v>167</v>
      </c>
    </row>
    <row r="25" spans="1:11" x14ac:dyDescent="0.2">
      <c r="A25" s="5"/>
      <c r="B25" s="8"/>
      <c r="C25" s="8"/>
      <c r="D25" s="167"/>
      <c r="E25" s="91"/>
      <c r="F25" s="91"/>
      <c r="G25" s="59"/>
      <c r="H25" s="107"/>
      <c r="I25" s="5"/>
    </row>
    <row r="26" spans="1:11" ht="13.5" thickBot="1" x14ac:dyDescent="0.25">
      <c r="A26" s="64" t="s">
        <v>195</v>
      </c>
      <c r="B26" s="8"/>
      <c r="C26" s="8"/>
      <c r="D26" s="167"/>
      <c r="E26" s="91"/>
      <c r="F26" s="91"/>
      <c r="G26" s="59"/>
      <c r="H26" s="107"/>
      <c r="I26" s="5"/>
    </row>
    <row r="27" spans="1:11" ht="15" thickBot="1" x14ac:dyDescent="0.25">
      <c r="A27" s="80" t="s">
        <v>172</v>
      </c>
      <c r="B27" s="8"/>
      <c r="C27" s="8"/>
      <c r="D27" s="118"/>
      <c r="E27" s="150" t="s">
        <v>212</v>
      </c>
      <c r="F27" s="150"/>
      <c r="G27" s="59"/>
      <c r="H27" s="95">
        <f>H14*D27</f>
        <v>0</v>
      </c>
      <c r="I27" s="5" t="s">
        <v>167</v>
      </c>
    </row>
    <row r="28" spans="1:11" ht="13.5" thickBot="1" x14ac:dyDescent="0.25">
      <c r="A28" s="5"/>
      <c r="B28" s="8"/>
      <c r="C28" s="8"/>
      <c r="D28" s="167"/>
      <c r="E28" s="92"/>
      <c r="F28" s="92"/>
      <c r="G28" s="59"/>
      <c r="H28" s="79"/>
      <c r="I28" s="5"/>
    </row>
    <row r="29" spans="1:11" ht="14.25" x14ac:dyDescent="0.2">
      <c r="A29" s="5"/>
      <c r="B29" s="8"/>
      <c r="C29" s="8"/>
      <c r="D29" s="167"/>
      <c r="G29" s="80" t="s">
        <v>178</v>
      </c>
      <c r="H29" s="96">
        <f>(H14+H21+H24+H27)</f>
        <v>18.91037600847487</v>
      </c>
      <c r="I29" s="5" t="s">
        <v>167</v>
      </c>
    </row>
    <row r="30" spans="1:11" ht="13.5" thickBot="1" x14ac:dyDescent="0.25">
      <c r="A30" s="5"/>
      <c r="B30" s="8"/>
      <c r="C30" s="8"/>
      <c r="D30" s="167"/>
      <c r="G30" s="81" t="s">
        <v>178</v>
      </c>
      <c r="H30" s="97">
        <f>H29*D14</f>
        <v>832.05654437289422</v>
      </c>
      <c r="I30" s="5" t="s">
        <v>9</v>
      </c>
    </row>
    <row r="31" spans="1:11" ht="15" customHeight="1" x14ac:dyDescent="0.2">
      <c r="A31" s="5"/>
      <c r="B31" s="8"/>
      <c r="C31" s="8"/>
      <c r="D31" s="7"/>
      <c r="H31" s="53"/>
    </row>
    <row r="32" spans="1:11" ht="22.5" customHeight="1" x14ac:dyDescent="0.2">
      <c r="A32" s="65" t="s">
        <v>176</v>
      </c>
      <c r="B32" s="66"/>
      <c r="C32" s="66"/>
      <c r="D32" s="168"/>
      <c r="E32" s="164"/>
      <c r="F32" s="164"/>
      <c r="G32" s="68"/>
      <c r="H32" s="77"/>
      <c r="I32" s="68"/>
      <c r="J32" s="68"/>
    </row>
    <row r="33" spans="1:15" ht="15" customHeight="1" x14ac:dyDescent="0.2">
      <c r="A33" s="5"/>
      <c r="B33" s="8"/>
      <c r="C33" s="8"/>
      <c r="D33" s="169" t="s">
        <v>162</v>
      </c>
      <c r="E33" s="15"/>
      <c r="F33" s="15"/>
      <c r="G33" s="19"/>
      <c r="H33" s="83" t="s">
        <v>20</v>
      </c>
    </row>
    <row r="34" spans="1:15" ht="15.75" customHeight="1" thickBot="1" x14ac:dyDescent="0.25">
      <c r="A34" s="3" t="s">
        <v>186</v>
      </c>
      <c r="D34" s="19"/>
      <c r="H34" s="20"/>
    </row>
    <row r="35" spans="1:15" ht="15" customHeight="1" thickBot="1" x14ac:dyDescent="0.25">
      <c r="A35" s="5" t="s">
        <v>17</v>
      </c>
      <c r="B35" s="8"/>
      <c r="C35" s="8"/>
      <c r="D35" s="119"/>
      <c r="E35" s="1" t="s">
        <v>9</v>
      </c>
      <c r="H35" s="98">
        <f>SUM(D35:D38)</f>
        <v>0</v>
      </c>
      <c r="I35" s="19" t="s">
        <v>9</v>
      </c>
      <c r="J35" s="19"/>
    </row>
    <row r="36" spans="1:15" ht="15" customHeight="1" x14ac:dyDescent="0.2">
      <c r="A36" s="5" t="s">
        <v>153</v>
      </c>
      <c r="B36" s="8"/>
      <c r="C36" s="8"/>
      <c r="D36" s="120"/>
      <c r="E36" s="1" t="s">
        <v>9</v>
      </c>
      <c r="H36" s="61"/>
      <c r="I36" s="19"/>
      <c r="J36" s="19"/>
    </row>
    <row r="37" spans="1:15" ht="15" customHeight="1" x14ac:dyDescent="0.2">
      <c r="A37" s="5" t="s">
        <v>18</v>
      </c>
      <c r="B37" s="8"/>
      <c r="C37" s="8"/>
      <c r="D37" s="121"/>
      <c r="E37" s="1" t="s">
        <v>9</v>
      </c>
      <c r="H37" s="61"/>
      <c r="I37" s="19"/>
      <c r="J37" s="19"/>
      <c r="O37" s="90"/>
    </row>
    <row r="38" spans="1:15" ht="15" customHeight="1" thickBot="1" x14ac:dyDescent="0.25">
      <c r="A38" s="5" t="s">
        <v>19</v>
      </c>
      <c r="B38" s="8"/>
      <c r="C38" s="8"/>
      <c r="D38" s="122"/>
      <c r="E38" s="1" t="s">
        <v>9</v>
      </c>
      <c r="H38" s="61"/>
    </row>
    <row r="39" spans="1:15" ht="15" customHeight="1" x14ac:dyDescent="0.2">
      <c r="A39" s="5"/>
      <c r="B39" s="8"/>
      <c r="C39" s="8"/>
      <c r="D39" s="123"/>
    </row>
    <row r="40" spans="1:15" ht="15.75" customHeight="1" x14ac:dyDescent="0.2">
      <c r="A40" s="3" t="s">
        <v>170</v>
      </c>
      <c r="B40" s="8"/>
      <c r="C40" s="8"/>
      <c r="D40" s="124"/>
      <c r="E40" s="9"/>
      <c r="F40" s="9"/>
    </row>
    <row r="41" spans="1:15" ht="15" customHeight="1" x14ac:dyDescent="0.2">
      <c r="A41" s="5"/>
      <c r="B41" s="8"/>
      <c r="C41" s="8"/>
      <c r="D41" s="124"/>
    </row>
    <row r="42" spans="1:15" ht="15" customHeight="1" thickBot="1" x14ac:dyDescent="0.25">
      <c r="A42" s="64" t="s">
        <v>177</v>
      </c>
      <c r="B42" s="8"/>
      <c r="C42" s="8"/>
      <c r="D42" s="124"/>
    </row>
    <row r="43" spans="1:15" ht="15" customHeight="1" thickBot="1" x14ac:dyDescent="0.25">
      <c r="A43" s="5" t="s">
        <v>172</v>
      </c>
      <c r="B43" s="8"/>
      <c r="C43" s="8"/>
      <c r="D43" s="118"/>
      <c r="E43" s="1" t="s">
        <v>212</v>
      </c>
      <c r="G43" s="59"/>
      <c r="H43" s="95">
        <f>H35*D43</f>
        <v>0</v>
      </c>
      <c r="I43" s="5" t="s">
        <v>9</v>
      </c>
    </row>
    <row r="44" spans="1:15" ht="15" customHeight="1" x14ac:dyDescent="0.2">
      <c r="A44" s="5"/>
      <c r="B44" s="8"/>
      <c r="C44" s="8"/>
      <c r="G44" s="5"/>
      <c r="H44" s="5"/>
    </row>
    <row r="45" spans="1:15" ht="22.5" customHeight="1" x14ac:dyDescent="0.2">
      <c r="A45" s="65" t="s">
        <v>269</v>
      </c>
      <c r="B45" s="66"/>
      <c r="C45" s="66"/>
      <c r="D45" s="68"/>
      <c r="E45" s="68"/>
      <c r="F45" s="68"/>
      <c r="G45" s="69"/>
      <c r="H45" s="78"/>
      <c r="I45" s="68"/>
      <c r="J45" s="68"/>
    </row>
    <row r="46" spans="1:15" ht="13.5" thickBot="1" x14ac:dyDescent="0.25">
      <c r="B46" s="4"/>
      <c r="C46" s="4"/>
      <c r="G46" s="5"/>
      <c r="H46" s="5"/>
    </row>
    <row r="47" spans="1:15" ht="12.75" customHeight="1" x14ac:dyDescent="0.2">
      <c r="A47" s="289" t="s">
        <v>213</v>
      </c>
      <c r="B47" s="292" t="s">
        <v>183</v>
      </c>
      <c r="C47" s="313" t="s">
        <v>263</v>
      </c>
      <c r="D47" s="315" t="s">
        <v>264</v>
      </c>
      <c r="E47" s="16"/>
    </row>
    <row r="48" spans="1:15" x14ac:dyDescent="0.2">
      <c r="A48" s="290"/>
      <c r="B48" s="293"/>
      <c r="C48" s="314"/>
      <c r="D48" s="316"/>
      <c r="E48" s="16"/>
    </row>
    <row r="49" spans="1:11" x14ac:dyDescent="0.2">
      <c r="A49" s="291"/>
      <c r="B49" s="294"/>
      <c r="C49" s="314"/>
      <c r="D49" s="316"/>
      <c r="E49" s="16"/>
    </row>
    <row r="50" spans="1:11" x14ac:dyDescent="0.2">
      <c r="A50" s="74" t="s">
        <v>4</v>
      </c>
      <c r="B50" s="143"/>
      <c r="C50" s="272">
        <f>$H$30*(1+0)</f>
        <v>832.05654437289422</v>
      </c>
      <c r="D50" s="273">
        <f>C50-$H$30</f>
        <v>0</v>
      </c>
      <c r="E50" s="16"/>
    </row>
    <row r="51" spans="1:11" x14ac:dyDescent="0.2">
      <c r="A51" s="74" t="s">
        <v>5</v>
      </c>
      <c r="B51" s="143"/>
      <c r="C51" s="272">
        <f>$H$30*(1+0)</f>
        <v>832.05654437289422</v>
      </c>
      <c r="D51" s="273">
        <f>C51-$H$30</f>
        <v>0</v>
      </c>
      <c r="E51" s="16"/>
    </row>
    <row r="52" spans="1:11" x14ac:dyDescent="0.2">
      <c r="A52" s="74" t="s">
        <v>6</v>
      </c>
      <c r="B52" s="143"/>
      <c r="C52" s="272">
        <f>$H$30*(1+0.007)</f>
        <v>837.88094018350444</v>
      </c>
      <c r="D52" s="273">
        <f>C52-$H$30</f>
        <v>5.8243958106102127</v>
      </c>
      <c r="E52" s="16"/>
    </row>
    <row r="53" spans="1:11" x14ac:dyDescent="0.2">
      <c r="A53" s="74" t="s">
        <v>7</v>
      </c>
      <c r="B53" s="143"/>
      <c r="C53" s="272">
        <f>$H$30*(1+0.026)</f>
        <v>853.69001452658949</v>
      </c>
      <c r="D53" s="273">
        <f>C53-$H$30</f>
        <v>21.633470153695271</v>
      </c>
      <c r="E53" s="16"/>
    </row>
    <row r="54" spans="1:11" x14ac:dyDescent="0.2">
      <c r="A54" s="74" t="s">
        <v>8</v>
      </c>
      <c r="B54" s="144"/>
      <c r="C54" s="272">
        <f>$H$30*(1+0.061)</f>
        <v>882.81199357964067</v>
      </c>
      <c r="D54" s="273">
        <f>C54-$H$30</f>
        <v>50.755449206746448</v>
      </c>
      <c r="F54" s="16"/>
    </row>
    <row r="55" spans="1:11" ht="13.5" thickBot="1" x14ac:dyDescent="0.25">
      <c r="A55" s="75" t="s">
        <v>182</v>
      </c>
      <c r="B55" s="76">
        <f>SUM(B50:B54)</f>
        <v>0</v>
      </c>
      <c r="C55" s="274"/>
      <c r="D55" s="276">
        <f>IF(B55=0,0,SUMPRODUCT(D50:D54,B50:B54)/B55)</f>
        <v>0</v>
      </c>
      <c r="E55" s="169" t="s">
        <v>277</v>
      </c>
      <c r="F55" s="169"/>
    </row>
    <row r="56" spans="1:11" x14ac:dyDescent="0.2">
      <c r="A56" s="16"/>
      <c r="B56" s="16"/>
      <c r="C56" s="16"/>
      <c r="D56" s="126"/>
      <c r="E56" s="16"/>
      <c r="F56" s="16"/>
    </row>
    <row r="57" spans="1:11" s="7" customFormat="1" ht="22.5" customHeight="1" x14ac:dyDescent="0.2">
      <c r="A57" s="84" t="s">
        <v>3</v>
      </c>
      <c r="B57" s="85"/>
      <c r="C57" s="85"/>
      <c r="D57" s="85"/>
      <c r="E57" s="85"/>
      <c r="F57" s="125"/>
      <c r="G57" s="158" t="s">
        <v>218</v>
      </c>
      <c r="H57" s="87"/>
      <c r="I57" s="87"/>
      <c r="J57" s="87"/>
      <c r="K57" s="124"/>
    </row>
    <row r="58" spans="1:11" ht="13.5" thickBot="1" x14ac:dyDescent="0.25">
      <c r="A58" s="16"/>
      <c r="B58" s="16"/>
      <c r="C58" s="16"/>
      <c r="D58" s="126"/>
      <c r="E58" s="16"/>
      <c r="F58" s="16"/>
      <c r="H58" s="159"/>
      <c r="I58" s="159"/>
      <c r="J58" s="159"/>
    </row>
    <row r="59" spans="1:11" x14ac:dyDescent="0.2">
      <c r="A59" s="5" t="s">
        <v>175</v>
      </c>
      <c r="D59" s="99">
        <f>H14*D14</f>
        <v>832.05654437289422</v>
      </c>
      <c r="E59" s="1" t="s">
        <v>9</v>
      </c>
      <c r="G59" s="14" t="s">
        <v>219</v>
      </c>
      <c r="H59" s="302"/>
      <c r="I59" s="287"/>
      <c r="J59" s="5"/>
    </row>
    <row r="60" spans="1:11" x14ac:dyDescent="0.2">
      <c r="A60" s="5" t="s">
        <v>231</v>
      </c>
      <c r="D60" s="161">
        <f>(H21+H24+H27)*D14+D55</f>
        <v>0</v>
      </c>
      <c r="E60" s="1" t="s">
        <v>9</v>
      </c>
      <c r="G60" s="14" t="s">
        <v>220</v>
      </c>
      <c r="H60" s="303"/>
      <c r="I60" s="304"/>
      <c r="J60" s="5"/>
    </row>
    <row r="61" spans="1:11" x14ac:dyDescent="0.2">
      <c r="A61" s="5" t="s">
        <v>176</v>
      </c>
      <c r="D61" s="100">
        <f>H35</f>
        <v>0</v>
      </c>
      <c r="E61" s="1" t="s">
        <v>9</v>
      </c>
      <c r="H61" s="300"/>
      <c r="I61" s="301"/>
      <c r="J61" s="5"/>
    </row>
    <row r="62" spans="1:11" x14ac:dyDescent="0.2">
      <c r="A62" s="5" t="s">
        <v>232</v>
      </c>
      <c r="D62" s="162">
        <f>H43</f>
        <v>0</v>
      </c>
      <c r="E62" s="1" t="s">
        <v>9</v>
      </c>
      <c r="G62" s="14" t="s">
        <v>221</v>
      </c>
      <c r="H62" s="302"/>
      <c r="I62" s="299"/>
      <c r="J62" s="5"/>
    </row>
    <row r="63" spans="1:11" ht="13.5" thickBot="1" x14ac:dyDescent="0.25">
      <c r="A63" s="64" t="s">
        <v>3</v>
      </c>
      <c r="D63" s="101">
        <f>SUM(D59:D62)</f>
        <v>832.05654437289422</v>
      </c>
      <c r="E63" s="56" t="s">
        <v>9</v>
      </c>
      <c r="F63" s="56"/>
      <c r="G63" s="14" t="s">
        <v>215</v>
      </c>
      <c r="H63" s="288"/>
      <c r="I63" s="288"/>
      <c r="J63" s="5"/>
    </row>
    <row r="64" spans="1:11" ht="13.5" thickBot="1" x14ac:dyDescent="0.25">
      <c r="A64" s="5"/>
      <c r="D64" s="5"/>
      <c r="G64" s="14" t="s">
        <v>222</v>
      </c>
      <c r="H64" s="288"/>
      <c r="I64" s="288"/>
      <c r="J64" s="5"/>
    </row>
    <row r="65" spans="1:10" x14ac:dyDescent="0.2">
      <c r="A65" s="80" t="s">
        <v>270</v>
      </c>
      <c r="D65" s="99">
        <f>B55</f>
        <v>0</v>
      </c>
      <c r="E65" s="1" t="s">
        <v>10</v>
      </c>
      <c r="G65" s="14"/>
      <c r="H65" s="160"/>
      <c r="I65" s="160"/>
      <c r="J65" s="5"/>
    </row>
    <row r="66" spans="1:10" x14ac:dyDescent="0.2">
      <c r="A66" s="51" t="s">
        <v>71</v>
      </c>
      <c r="D66" s="145">
        <v>0.9</v>
      </c>
      <c r="E66" s="1" t="s">
        <v>212</v>
      </c>
      <c r="G66" s="14" t="s">
        <v>223</v>
      </c>
      <c r="H66" s="287"/>
      <c r="I66" s="287"/>
      <c r="J66" s="5"/>
    </row>
    <row r="67" spans="1:10" x14ac:dyDescent="0.2">
      <c r="A67" s="5" t="s">
        <v>179</v>
      </c>
      <c r="D67" s="127">
        <f>(D59+D60)*D65*D66</f>
        <v>0</v>
      </c>
      <c r="E67" s="1" t="s">
        <v>11</v>
      </c>
      <c r="G67" s="14" t="s">
        <v>224</v>
      </c>
      <c r="H67" s="288"/>
      <c r="I67" s="288"/>
      <c r="J67" s="5"/>
    </row>
    <row r="68" spans="1:10" x14ac:dyDescent="0.2">
      <c r="A68" s="13" t="s">
        <v>180</v>
      </c>
      <c r="D68" s="127">
        <f>(D61+D62)*D65*D66</f>
        <v>0</v>
      </c>
      <c r="E68" s="1" t="s">
        <v>11</v>
      </c>
      <c r="G68" s="14"/>
      <c r="H68" s="160"/>
      <c r="I68" s="160"/>
      <c r="J68" s="5"/>
    </row>
    <row r="69" spans="1:10" ht="13.5" thickBot="1" x14ac:dyDescent="0.25">
      <c r="A69" s="64" t="s">
        <v>152</v>
      </c>
      <c r="D69" s="128">
        <f>D63*D65*D66</f>
        <v>0</v>
      </c>
      <c r="E69" s="7" t="s">
        <v>11</v>
      </c>
      <c r="F69" s="7"/>
      <c r="G69" s="14" t="s">
        <v>225</v>
      </c>
      <c r="H69" s="287"/>
      <c r="I69" s="287"/>
      <c r="J69" s="5"/>
    </row>
    <row r="70" spans="1:10" x14ac:dyDescent="0.2">
      <c r="A70" s="64"/>
      <c r="D70" s="108"/>
      <c r="E70" s="7"/>
      <c r="F70" s="7"/>
      <c r="G70" s="14"/>
      <c r="H70" s="160"/>
      <c r="I70" s="160"/>
      <c r="J70" s="5"/>
    </row>
    <row r="71" spans="1:10" x14ac:dyDescent="0.2">
      <c r="A71" s="64"/>
      <c r="D71" s="108"/>
      <c r="E71" s="7"/>
      <c r="F71" s="7"/>
      <c r="G71" s="14" t="s">
        <v>226</v>
      </c>
      <c r="H71" s="287"/>
      <c r="I71" s="287"/>
      <c r="J71" s="5"/>
    </row>
    <row r="72" spans="1:10" x14ac:dyDescent="0.2">
      <c r="G72" s="14" t="s">
        <v>227</v>
      </c>
      <c r="H72" s="288"/>
      <c r="I72" s="288"/>
      <c r="J72" s="5"/>
    </row>
    <row r="73" spans="1:10" x14ac:dyDescent="0.2">
      <c r="G73" s="14"/>
      <c r="H73" s="160"/>
      <c r="I73" s="160"/>
      <c r="J73" s="5"/>
    </row>
    <row r="74" spans="1:10" x14ac:dyDescent="0.2">
      <c r="G74" s="14" t="s">
        <v>228</v>
      </c>
      <c r="H74" s="287"/>
      <c r="I74" s="287"/>
      <c r="J74" s="5"/>
    </row>
    <row r="75" spans="1:10" x14ac:dyDescent="0.2">
      <c r="G75" s="14" t="s">
        <v>229</v>
      </c>
      <c r="H75" s="288"/>
      <c r="I75" s="288"/>
      <c r="J75" s="5"/>
    </row>
    <row r="76" spans="1:10" x14ac:dyDescent="0.2">
      <c r="G76" s="157"/>
      <c r="H76" s="160"/>
      <c r="I76" s="160"/>
      <c r="J76" s="5"/>
    </row>
    <row r="77" spans="1:10" x14ac:dyDescent="0.2">
      <c r="A77" s="280" t="s">
        <v>24</v>
      </c>
      <c r="B77" s="280"/>
      <c r="C77" s="280"/>
      <c r="D77" s="280"/>
      <c r="G77" s="113" t="s">
        <v>230</v>
      </c>
      <c r="H77" s="298"/>
      <c r="I77" s="299"/>
      <c r="J77" s="5"/>
    </row>
    <row r="78" spans="1:10" ht="13.5" customHeight="1" x14ac:dyDescent="0.2">
      <c r="A78" s="280"/>
      <c r="B78" s="280"/>
      <c r="C78" s="280"/>
      <c r="D78" s="280"/>
      <c r="H78" s="281"/>
      <c r="I78" s="281"/>
      <c r="J78" s="5"/>
    </row>
    <row r="79" spans="1:10" x14ac:dyDescent="0.2">
      <c r="A79" s="280"/>
      <c r="B79" s="280"/>
      <c r="C79" s="280"/>
      <c r="D79" s="280"/>
      <c r="J79" s="5"/>
    </row>
    <row r="80" spans="1:10" x14ac:dyDescent="0.2">
      <c r="A80" s="280"/>
      <c r="B80" s="280"/>
      <c r="C80" s="280"/>
      <c r="D80" s="280"/>
      <c r="E80" s="157"/>
      <c r="F80" s="157"/>
      <c r="J80" s="5"/>
    </row>
    <row r="81" spans="1:10" ht="18.75" customHeight="1" x14ac:dyDescent="0.2">
      <c r="A81" s="282"/>
      <c r="B81" s="282"/>
      <c r="C81" s="282"/>
      <c r="D81" s="282"/>
      <c r="H81" s="160"/>
      <c r="I81" s="160"/>
      <c r="J81" s="5"/>
    </row>
    <row r="82" spans="1:10" x14ac:dyDescent="0.2">
      <c r="A82" s="1" t="s">
        <v>0</v>
      </c>
      <c r="D82" s="10" t="s">
        <v>2</v>
      </c>
      <c r="H82" s="160"/>
      <c r="I82" s="160"/>
    </row>
    <row r="83" spans="1:10" ht="18.75" customHeight="1" x14ac:dyDescent="0.2">
      <c r="A83" s="11"/>
      <c r="B83" s="11"/>
      <c r="C83" s="11"/>
      <c r="D83" s="11"/>
    </row>
    <row r="84" spans="1:10" x14ac:dyDescent="0.2">
      <c r="A84" s="1" t="s">
        <v>1</v>
      </c>
      <c r="I84" s="57" t="s">
        <v>288</v>
      </c>
    </row>
  </sheetData>
  <sheetProtection algorithmName="SHA-512" hashValue="vFVp/ePU7RHwNd8hGsYn4KddhFGqkrPJb5DzSYH8vXiIViDpmfmk9ByqcpBt0+etTK0L7WQSwwq91wQIyQMLMQ==" saltValue="DV45FEWsQnzV9gkYLEWr7A==" spinCount="100000" sheet="1" objects="1" scenarios="1"/>
  <mergeCells count="29">
    <mergeCell ref="H71:I71"/>
    <mergeCell ref="H78:I78"/>
    <mergeCell ref="H74:I74"/>
    <mergeCell ref="H77:I77"/>
    <mergeCell ref="H72:I72"/>
    <mergeCell ref="H75:I75"/>
    <mergeCell ref="H60:I60"/>
    <mergeCell ref="H69:I69"/>
    <mergeCell ref="H64:I64"/>
    <mergeCell ref="H67:I67"/>
    <mergeCell ref="H66:I66"/>
    <mergeCell ref="H62:I62"/>
    <mergeCell ref="H63:I63"/>
    <mergeCell ref="A77:D80"/>
    <mergeCell ref="A81:D81"/>
    <mergeCell ref="C47:C49"/>
    <mergeCell ref="D47:D49"/>
    <mergeCell ref="D2:J2"/>
    <mergeCell ref="D7:E7"/>
    <mergeCell ref="I4:J4"/>
    <mergeCell ref="A47:A49"/>
    <mergeCell ref="B47:B49"/>
    <mergeCell ref="D9:E9"/>
    <mergeCell ref="A4:B4"/>
    <mergeCell ref="D4:G4"/>
    <mergeCell ref="D8:E8"/>
    <mergeCell ref="D6:E6"/>
    <mergeCell ref="H59:I59"/>
    <mergeCell ref="H61:I61"/>
  </mergeCells>
  <phoneticPr fontId="8" type="noConversion"/>
  <dataValidations count="9">
    <dataValidation type="decimal" allowBlank="1" showInputMessage="1" showErrorMessage="1" errorTitle="Valeur autorisée" error="La valeur saisie doit être comprise entre 0 et 1,2%" sqref="D43">
      <formula1>0</formula1>
      <formula2>0.012</formula2>
    </dataValidation>
    <dataValidation type="list" allowBlank="1" showInputMessage="1" showErrorMessage="1" sqref="D66">
      <formula1>Investissement</formula1>
    </dataValidation>
    <dataValidation type="list" allowBlank="1" showInputMessage="1" showErrorMessage="1" sqref="D35">
      <formula1>Sup</formula1>
    </dataValidation>
    <dataValidation type="list" allowBlank="1" showInputMessage="1" showErrorMessage="1" sqref="D36">
      <formula1>Qualite</formula1>
    </dataValidation>
    <dataValidation type="list" allowBlank="1" showInputMessage="1" showErrorMessage="1" sqref="D37">
      <formula1>InvAT</formula1>
    </dataValidation>
    <dataValidation type="list" allowBlank="1" showInputMessage="1" showErrorMessage="1" sqref="D38">
      <formula1>Rapport</formula1>
    </dataValidation>
    <dataValidation type="list" allowBlank="1" showInputMessage="1" showErrorMessage="1" sqref="D27">
      <formula1>Manuel</formula1>
    </dataValidation>
    <dataValidation type="decimal" operator="greaterThanOrEqual" allowBlank="1" showInputMessage="1" showErrorMessage="1" errorTitle="Valeur autorisée" error="La valeur saisie doit être supérieure à 15 m._x000a__x000a_Laissez la cellule vide si non applicable_x000a_" sqref="D21">
      <formula1>15</formula1>
    </dataValidation>
    <dataValidation type="decimal" allowBlank="1" showInputMessage="1" showErrorMessage="1" errorTitle="Valeur autorisée" error="La valeur saisie doit être comprise entre 0 et 3,2%" sqref="D24">
      <formula1>0</formula1>
      <formula2>0.032</formula2>
    </dataValidation>
  </dataValidations>
  <printOptions horizontalCentered="1"/>
  <pageMargins left="0" right="0" top="0" bottom="0" header="0.51181102362204722" footer="0.51181102362204722"/>
  <pageSetup paperSize="5" scale="78" orientation="portrait" r:id="rId1"/>
  <headerFooter alignWithMargins="0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N82"/>
  <sheetViews>
    <sheetView showGridLines="0" zoomScaleNormal="100" workbookViewId="0">
      <selection activeCell="A4" sqref="A4:B4"/>
    </sheetView>
  </sheetViews>
  <sheetFormatPr baseColWidth="10" defaultColWidth="11.42578125" defaultRowHeight="12.75" x14ac:dyDescent="0.2"/>
  <cols>
    <col min="1" max="1" width="11.42578125" style="1"/>
    <col min="2" max="2" width="13.28515625" style="1" customWidth="1"/>
    <col min="3" max="4" width="11.42578125" style="1"/>
    <col min="5" max="6" width="8.28515625" style="1" customWidth="1"/>
    <col min="7" max="7" width="32" style="1" customWidth="1"/>
    <col min="8" max="8" width="13" style="1" customWidth="1"/>
    <col min="9" max="9" width="14.42578125" style="1" customWidth="1"/>
    <col min="10" max="10" width="6.5703125" style="1" customWidth="1"/>
    <col min="11" max="11" width="1.85546875" style="1" customWidth="1"/>
    <col min="12" max="16384" width="11.42578125" style="1"/>
  </cols>
  <sheetData>
    <row r="1" spans="1:11" s="2" customFormat="1" ht="21.75" customHeight="1" x14ac:dyDescent="0.2">
      <c r="A1" s="22"/>
      <c r="B1" s="22"/>
      <c r="C1" s="22"/>
      <c r="D1" s="22"/>
      <c r="E1" s="22"/>
      <c r="F1" s="22"/>
      <c r="G1" s="22"/>
    </row>
    <row r="2" spans="1:11" s="2" customFormat="1" ht="101.25" customHeight="1" x14ac:dyDescent="0.2">
      <c r="A2" s="22"/>
      <c r="B2" s="22"/>
      <c r="C2" s="22"/>
      <c r="D2" s="310" t="s">
        <v>271</v>
      </c>
      <c r="E2" s="310"/>
      <c r="F2" s="310"/>
      <c r="G2" s="310"/>
      <c r="H2" s="310"/>
      <c r="I2" s="310"/>
      <c r="J2" s="310"/>
    </row>
    <row r="4" spans="1:11" s="2" customFormat="1" ht="37.5" customHeight="1" x14ac:dyDescent="0.2">
      <c r="A4" s="312" t="s">
        <v>278</v>
      </c>
      <c r="B4" s="312"/>
      <c r="C4" s="17"/>
      <c r="D4" s="312" t="s">
        <v>196</v>
      </c>
      <c r="E4" s="312"/>
      <c r="F4" s="312"/>
      <c r="G4" s="312"/>
      <c r="I4" s="312" t="s">
        <v>23</v>
      </c>
      <c r="J4" s="312"/>
    </row>
    <row r="6" spans="1:11" x14ac:dyDescent="0.2">
      <c r="A6" s="1" t="s">
        <v>287</v>
      </c>
      <c r="D6" s="317"/>
      <c r="E6" s="318"/>
    </row>
    <row r="7" spans="1:11" x14ac:dyDescent="0.2">
      <c r="A7" s="1" t="s">
        <v>13</v>
      </c>
      <c r="D7" s="305"/>
      <c r="E7" s="305"/>
    </row>
    <row r="8" spans="1:11" x14ac:dyDescent="0.2">
      <c r="A8" s="1" t="s">
        <v>14</v>
      </c>
      <c r="D8" s="305"/>
      <c r="E8" s="305"/>
    </row>
    <row r="9" spans="1:11" x14ac:dyDescent="0.2">
      <c r="A9" s="1" t="s">
        <v>233</v>
      </c>
      <c r="D9" s="308"/>
      <c r="E9" s="309"/>
    </row>
    <row r="10" spans="1:11" x14ac:dyDescent="0.2">
      <c r="D10" s="15"/>
      <c r="E10" s="15"/>
    </row>
    <row r="11" spans="1:11" ht="22.5" customHeight="1" x14ac:dyDescent="0.2">
      <c r="A11" s="70" t="s">
        <v>175</v>
      </c>
      <c r="B11" s="68"/>
      <c r="C11" s="68"/>
      <c r="D11" s="68"/>
      <c r="E11" s="164"/>
      <c r="F11" s="68"/>
      <c r="G11" s="68"/>
      <c r="H11" s="68"/>
      <c r="I11" s="68"/>
      <c r="J11" s="68"/>
    </row>
    <row r="12" spans="1:11" ht="15" customHeight="1" x14ac:dyDescent="0.2">
      <c r="A12" s="82"/>
      <c r="B12" s="19"/>
      <c r="C12" s="19"/>
      <c r="D12" s="165" t="s">
        <v>162</v>
      </c>
      <c r="E12" s="15"/>
      <c r="F12" s="19"/>
      <c r="H12" s="83" t="s">
        <v>20</v>
      </c>
      <c r="I12" s="19"/>
      <c r="J12" s="19"/>
    </row>
    <row r="13" spans="1:11" ht="15.75" customHeight="1" thickBot="1" x14ac:dyDescent="0.25">
      <c r="A13" s="3" t="s">
        <v>174</v>
      </c>
      <c r="F13" s="3"/>
    </row>
    <row r="14" spans="1:11" ht="15" customHeight="1" thickBot="1" x14ac:dyDescent="0.25">
      <c r="A14" s="1" t="s">
        <v>237</v>
      </c>
      <c r="D14" s="146">
        <v>45</v>
      </c>
      <c r="E14" s="1" t="s">
        <v>163</v>
      </c>
      <c r="G14" s="5"/>
      <c r="H14" s="257">
        <f xml:space="preserve"> (-0.018*$D14 + 311.6/$D14 + 3.92*EXP(-0.0069*$D14)- 0.31)+((4.35/($D16^0.34))-(4.35/($D15^0.34)))+EXP(2.631-0.237*LN(D16)) - EXP(2.286-0.237*LN(D15))</f>
        <v>18.602264015072798</v>
      </c>
      <c r="I14" s="6" t="s">
        <v>167</v>
      </c>
      <c r="K14" s="10"/>
    </row>
    <row r="15" spans="1:11" ht="15" customHeight="1" x14ac:dyDescent="0.2">
      <c r="A15" s="1" t="s">
        <v>164</v>
      </c>
      <c r="D15" s="147">
        <v>0.1</v>
      </c>
      <c r="E15" s="1" t="s">
        <v>165</v>
      </c>
      <c r="G15" s="14"/>
      <c r="H15" s="6"/>
    </row>
    <row r="16" spans="1:11" ht="15" customHeight="1" thickBot="1" x14ac:dyDescent="0.25">
      <c r="A16" s="1" t="s">
        <v>185</v>
      </c>
      <c r="D16" s="148">
        <v>7.2999999999999995E-2</v>
      </c>
      <c r="E16" s="1" t="s">
        <v>165</v>
      </c>
      <c r="G16" s="14"/>
      <c r="H16" s="6"/>
    </row>
    <row r="17" spans="1:10" ht="15" customHeight="1" x14ac:dyDescent="0.2">
      <c r="D17" s="113"/>
    </row>
    <row r="18" spans="1:10" ht="15.75" customHeight="1" x14ac:dyDescent="0.2">
      <c r="A18" s="3" t="s">
        <v>170</v>
      </c>
      <c r="D18" s="113"/>
      <c r="E18" s="4"/>
      <c r="H18" s="4"/>
      <c r="I18" s="4"/>
    </row>
    <row r="19" spans="1:10" s="57" customFormat="1" ht="15" customHeight="1" x14ac:dyDescent="0.2">
      <c r="D19" s="12"/>
      <c r="E19" s="58"/>
      <c r="H19" s="58"/>
      <c r="I19" s="58"/>
    </row>
    <row r="20" spans="1:10" ht="15" customHeight="1" thickBot="1" x14ac:dyDescent="0.25">
      <c r="A20" s="56" t="s">
        <v>171</v>
      </c>
      <c r="B20" s="8"/>
      <c r="C20" s="8"/>
      <c r="D20" s="114"/>
      <c r="F20" s="55"/>
      <c r="G20" s="55"/>
      <c r="H20" s="16"/>
    </row>
    <row r="21" spans="1:10" ht="15" customHeight="1" thickBot="1" x14ac:dyDescent="0.25">
      <c r="A21" s="5" t="s">
        <v>15</v>
      </c>
      <c r="B21" s="8"/>
      <c r="C21" s="8"/>
      <c r="D21" s="149"/>
      <c r="E21" s="1" t="s">
        <v>16</v>
      </c>
      <c r="F21" s="54"/>
      <c r="H21" s="93">
        <f>IF(D21=0,0,10000*D21^-1*108.9/1000/D14)</f>
        <v>0</v>
      </c>
      <c r="I21" s="16" t="s">
        <v>167</v>
      </c>
    </row>
    <row r="22" spans="1:10" ht="15" customHeight="1" x14ac:dyDescent="0.2">
      <c r="A22" s="5"/>
      <c r="B22" s="8"/>
      <c r="C22" s="8"/>
      <c r="D22" s="115"/>
      <c r="F22" s="16"/>
      <c r="H22" s="15"/>
      <c r="I22" s="16"/>
    </row>
    <row r="23" spans="1:10" ht="15" customHeight="1" thickBot="1" x14ac:dyDescent="0.25">
      <c r="A23" s="56" t="s">
        <v>173</v>
      </c>
      <c r="B23" s="8"/>
      <c r="C23" s="8"/>
      <c r="D23" s="114"/>
    </row>
    <row r="24" spans="1:10" ht="15" thickBot="1" x14ac:dyDescent="0.25">
      <c r="A24" s="5" t="s">
        <v>172</v>
      </c>
      <c r="B24" s="8"/>
      <c r="C24" s="8"/>
      <c r="D24" s="116"/>
      <c r="E24" s="150" t="s">
        <v>212</v>
      </c>
      <c r="F24" s="59"/>
      <c r="H24" s="95">
        <f>(H14+H21)*D24</f>
        <v>0</v>
      </c>
      <c r="I24" s="5" t="s">
        <v>167</v>
      </c>
    </row>
    <row r="25" spans="1:10" ht="13.5" thickBot="1" x14ac:dyDescent="0.25">
      <c r="A25" s="5"/>
      <c r="B25" s="8"/>
      <c r="C25" s="8"/>
      <c r="D25" s="170"/>
      <c r="E25" s="91"/>
      <c r="F25" s="59"/>
      <c r="H25" s="107"/>
      <c r="I25" s="5"/>
    </row>
    <row r="26" spans="1:10" ht="14.25" x14ac:dyDescent="0.2">
      <c r="A26" s="5"/>
      <c r="B26" s="8"/>
      <c r="C26" s="8"/>
      <c r="D26" s="170"/>
      <c r="G26" s="80" t="s">
        <v>178</v>
      </c>
      <c r="H26" s="96">
        <f>(H14+H21+H24)</f>
        <v>18.602264015072798</v>
      </c>
      <c r="I26" s="5" t="s">
        <v>167</v>
      </c>
    </row>
    <row r="27" spans="1:10" ht="13.5" thickBot="1" x14ac:dyDescent="0.25">
      <c r="A27" s="5"/>
      <c r="B27" s="8"/>
      <c r="C27" s="8"/>
      <c r="D27" s="170"/>
      <c r="G27" s="81" t="s">
        <v>178</v>
      </c>
      <c r="H27" s="97">
        <f>H26*D14</f>
        <v>837.10188067827596</v>
      </c>
      <c r="I27" s="5" t="s">
        <v>9</v>
      </c>
    </row>
    <row r="28" spans="1:10" ht="15" customHeight="1" x14ac:dyDescent="0.2">
      <c r="A28" s="5"/>
      <c r="B28" s="8"/>
      <c r="C28" s="8"/>
      <c r="D28" s="114"/>
      <c r="G28" s="53"/>
    </row>
    <row r="29" spans="1:10" ht="22.5" customHeight="1" x14ac:dyDescent="0.2">
      <c r="A29" s="65" t="s">
        <v>176</v>
      </c>
      <c r="B29" s="66"/>
      <c r="C29" s="66"/>
      <c r="D29" s="171"/>
      <c r="E29" s="164"/>
      <c r="F29" s="68"/>
      <c r="G29" s="77"/>
      <c r="H29" s="68"/>
      <c r="I29" s="68"/>
      <c r="J29" s="68"/>
    </row>
    <row r="30" spans="1:10" ht="15" customHeight="1" x14ac:dyDescent="0.2">
      <c r="A30" s="5"/>
      <c r="B30" s="8"/>
      <c r="C30" s="8"/>
      <c r="D30" s="172" t="s">
        <v>162</v>
      </c>
      <c r="E30" s="15"/>
      <c r="F30" s="19"/>
      <c r="G30" s="83" t="s">
        <v>20</v>
      </c>
    </row>
    <row r="31" spans="1:10" ht="15.75" customHeight="1" thickBot="1" x14ac:dyDescent="0.25">
      <c r="A31" s="3" t="s">
        <v>186</v>
      </c>
      <c r="D31" s="129"/>
      <c r="G31" s="20"/>
    </row>
    <row r="32" spans="1:10" ht="15" customHeight="1" thickBot="1" x14ac:dyDescent="0.25">
      <c r="A32" s="5" t="s">
        <v>17</v>
      </c>
      <c r="B32" s="8"/>
      <c r="C32" s="8"/>
      <c r="D32" s="130"/>
      <c r="E32" s="1" t="s">
        <v>9</v>
      </c>
      <c r="H32" s="98">
        <f>SUM(D32:D35)</f>
        <v>0</v>
      </c>
      <c r="I32" s="19" t="s">
        <v>9</v>
      </c>
    </row>
    <row r="33" spans="1:14" ht="15" customHeight="1" x14ac:dyDescent="0.2">
      <c r="A33" s="5" t="s">
        <v>153</v>
      </c>
      <c r="B33" s="8"/>
      <c r="C33" s="8"/>
      <c r="D33" s="131"/>
      <c r="E33" s="1" t="s">
        <v>9</v>
      </c>
      <c r="G33" s="61"/>
      <c r="H33" s="19"/>
      <c r="I33" s="19"/>
    </row>
    <row r="34" spans="1:14" ht="15" customHeight="1" x14ac:dyDescent="0.2">
      <c r="A34" s="5" t="s">
        <v>18</v>
      </c>
      <c r="B34" s="8"/>
      <c r="C34" s="8"/>
      <c r="D34" s="132"/>
      <c r="E34" s="1" t="s">
        <v>9</v>
      </c>
      <c r="G34" s="61"/>
      <c r="H34" s="19"/>
      <c r="I34" s="19"/>
      <c r="N34" s="90"/>
    </row>
    <row r="35" spans="1:14" ht="15" customHeight="1" thickBot="1" x14ac:dyDescent="0.25">
      <c r="A35" s="5" t="s">
        <v>19</v>
      </c>
      <c r="B35" s="8"/>
      <c r="C35" s="8"/>
      <c r="D35" s="133"/>
      <c r="E35" s="1" t="s">
        <v>9</v>
      </c>
      <c r="G35" s="61"/>
    </row>
    <row r="36" spans="1:14" ht="15" customHeight="1" x14ac:dyDescent="0.2">
      <c r="A36" s="5"/>
      <c r="B36" s="8"/>
      <c r="C36" s="8"/>
      <c r="D36" s="134"/>
    </row>
    <row r="37" spans="1:14" ht="15.75" customHeight="1" x14ac:dyDescent="0.2">
      <c r="A37" s="3" t="s">
        <v>170</v>
      </c>
      <c r="B37" s="8"/>
      <c r="C37" s="8"/>
      <c r="D37" s="135"/>
      <c r="E37" s="9"/>
    </row>
    <row r="38" spans="1:14" ht="15" customHeight="1" x14ac:dyDescent="0.2">
      <c r="A38" s="5"/>
      <c r="B38" s="8"/>
      <c r="C38" s="8"/>
      <c r="D38" s="135"/>
    </row>
    <row r="39" spans="1:14" ht="15" customHeight="1" thickBot="1" x14ac:dyDescent="0.25">
      <c r="A39" s="64" t="s">
        <v>177</v>
      </c>
      <c r="B39" s="8"/>
      <c r="C39" s="8"/>
      <c r="D39" s="135"/>
    </row>
    <row r="40" spans="1:14" ht="15" customHeight="1" thickBot="1" x14ac:dyDescent="0.25">
      <c r="A40" s="5" t="s">
        <v>172</v>
      </c>
      <c r="B40" s="8"/>
      <c r="C40" s="8"/>
      <c r="D40" s="116"/>
      <c r="E40" s="151" t="s">
        <v>212</v>
      </c>
      <c r="F40" s="59"/>
      <c r="H40" s="95">
        <f>H32*D40</f>
        <v>0</v>
      </c>
      <c r="I40" s="5" t="s">
        <v>9</v>
      </c>
    </row>
    <row r="41" spans="1:14" ht="15" customHeight="1" x14ac:dyDescent="0.2">
      <c r="A41" s="5"/>
      <c r="B41" s="8"/>
      <c r="C41" s="8"/>
      <c r="D41" s="4"/>
      <c r="F41" s="5"/>
      <c r="G41" s="5"/>
    </row>
    <row r="42" spans="1:14" ht="22.5" customHeight="1" x14ac:dyDescent="0.2">
      <c r="A42" s="65" t="s">
        <v>269</v>
      </c>
      <c r="B42" s="66"/>
      <c r="C42" s="66"/>
      <c r="D42" s="67"/>
      <c r="E42" s="68"/>
      <c r="F42" s="69"/>
      <c r="G42" s="78"/>
      <c r="H42" s="68"/>
      <c r="I42" s="68"/>
      <c r="J42" s="68"/>
    </row>
    <row r="43" spans="1:14" ht="13.5" thickBot="1" x14ac:dyDescent="0.25">
      <c r="B43" s="4"/>
      <c r="C43" s="4"/>
      <c r="D43" s="4"/>
      <c r="F43" s="5"/>
      <c r="G43" s="5"/>
    </row>
    <row r="44" spans="1:14" ht="12.75" customHeight="1" x14ac:dyDescent="0.2">
      <c r="A44" s="319" t="s">
        <v>181</v>
      </c>
      <c r="B44" s="292" t="s">
        <v>183</v>
      </c>
      <c r="C44" s="313" t="s">
        <v>263</v>
      </c>
      <c r="D44" s="315" t="s">
        <v>264</v>
      </c>
    </row>
    <row r="45" spans="1:14" x14ac:dyDescent="0.2">
      <c r="A45" s="320"/>
      <c r="B45" s="293"/>
      <c r="C45" s="314"/>
      <c r="D45" s="316"/>
    </row>
    <row r="46" spans="1:14" x14ac:dyDescent="0.2">
      <c r="A46" s="321"/>
      <c r="B46" s="294"/>
      <c r="C46" s="314"/>
      <c r="D46" s="316"/>
    </row>
    <row r="47" spans="1:14" x14ac:dyDescent="0.2">
      <c r="A47" s="74" t="s">
        <v>4</v>
      </c>
      <c r="B47" s="143"/>
      <c r="C47" s="272">
        <f>$H$27*(1+0)</f>
        <v>837.10188067827596</v>
      </c>
      <c r="D47" s="273">
        <f>C47-$H$27</f>
        <v>0</v>
      </c>
    </row>
    <row r="48" spans="1:14" x14ac:dyDescent="0.2">
      <c r="A48" s="74" t="s">
        <v>5</v>
      </c>
      <c r="B48" s="143"/>
      <c r="C48" s="272">
        <f>$H$27*(1+0)</f>
        <v>837.10188067827596</v>
      </c>
      <c r="D48" s="273">
        <f>C48-$H$27</f>
        <v>0</v>
      </c>
    </row>
    <row r="49" spans="1:10" x14ac:dyDescent="0.2">
      <c r="A49" s="74" t="s">
        <v>6</v>
      </c>
      <c r="B49" s="143"/>
      <c r="C49" s="272">
        <f>$H$27*(1+0.007)</f>
        <v>842.96159384302382</v>
      </c>
      <c r="D49" s="273">
        <f>C49-$H$27</f>
        <v>5.8597131647478591</v>
      </c>
    </row>
    <row r="50" spans="1:10" x14ac:dyDescent="0.2">
      <c r="A50" s="74" t="s">
        <v>7</v>
      </c>
      <c r="B50" s="143"/>
      <c r="C50" s="272">
        <f>$H$27*(1+0.026)</f>
        <v>858.86652957591116</v>
      </c>
      <c r="D50" s="273">
        <f>C50-$H$27</f>
        <v>21.764648897635197</v>
      </c>
    </row>
    <row r="51" spans="1:10" x14ac:dyDescent="0.2">
      <c r="A51" s="74" t="s">
        <v>8</v>
      </c>
      <c r="B51" s="144"/>
      <c r="C51" s="272">
        <f>$H$27*(1+0.061)</f>
        <v>888.1650953996508</v>
      </c>
      <c r="D51" s="273">
        <f>C51-$H$27</f>
        <v>51.063214721374834</v>
      </c>
      <c r="E51" s="169"/>
      <c r="F51" s="16"/>
    </row>
    <row r="52" spans="1:10" ht="13.5" thickBot="1" x14ac:dyDescent="0.25">
      <c r="A52" s="75" t="s">
        <v>182</v>
      </c>
      <c r="B52" s="76">
        <f>SUM(B47:B51)</f>
        <v>0</v>
      </c>
      <c r="C52" s="274"/>
      <c r="D52" s="275">
        <f>IF(B52=0,0,SUMPRODUCT(D47:D51,B47:B51)/B52)</f>
        <v>0</v>
      </c>
      <c r="F52" s="169"/>
    </row>
    <row r="53" spans="1:10" x14ac:dyDescent="0.2">
      <c r="A53" s="16"/>
      <c r="B53" s="16"/>
      <c r="C53" s="16"/>
      <c r="D53" s="72"/>
      <c r="E53" s="16"/>
    </row>
    <row r="54" spans="1:10" s="7" customFormat="1" ht="22.5" customHeight="1" x14ac:dyDescent="0.2">
      <c r="A54" s="84" t="s">
        <v>3</v>
      </c>
      <c r="B54" s="85"/>
      <c r="C54" s="85"/>
      <c r="D54" s="86"/>
      <c r="E54" s="85"/>
      <c r="F54" s="87"/>
      <c r="G54" s="87"/>
      <c r="H54" s="87"/>
      <c r="I54" s="87"/>
      <c r="J54" s="87"/>
    </row>
    <row r="55" spans="1:10" ht="13.5" thickBot="1" x14ac:dyDescent="0.25">
      <c r="A55" s="16"/>
      <c r="B55" s="16"/>
      <c r="C55" s="16"/>
      <c r="D55" s="72"/>
      <c r="E55" s="16"/>
    </row>
    <row r="56" spans="1:10" x14ac:dyDescent="0.2">
      <c r="A56" s="5" t="s">
        <v>175</v>
      </c>
      <c r="D56" s="99">
        <f>H14*D14</f>
        <v>837.10188067827596</v>
      </c>
      <c r="E56" s="1" t="s">
        <v>9</v>
      </c>
      <c r="F56" s="14"/>
      <c r="G56" s="105"/>
    </row>
    <row r="57" spans="1:10" x14ac:dyDescent="0.2">
      <c r="A57" s="5" t="s">
        <v>231</v>
      </c>
      <c r="D57" s="161">
        <f>(H21+H24)*D14+D52</f>
        <v>0</v>
      </c>
      <c r="E57" s="1" t="s">
        <v>9</v>
      </c>
      <c r="F57" s="14"/>
      <c r="G57" s="105"/>
    </row>
    <row r="58" spans="1:10" x14ac:dyDescent="0.2">
      <c r="A58" s="5" t="s">
        <v>176</v>
      </c>
      <c r="D58" s="100">
        <f>H32</f>
        <v>0</v>
      </c>
      <c r="E58" s="1" t="s">
        <v>9</v>
      </c>
      <c r="F58" s="14"/>
      <c r="G58" s="105"/>
    </row>
    <row r="59" spans="1:10" x14ac:dyDescent="0.2">
      <c r="A59" s="5" t="s">
        <v>232</v>
      </c>
      <c r="D59" s="162">
        <f>H40</f>
        <v>0</v>
      </c>
      <c r="E59" s="1" t="s">
        <v>9</v>
      </c>
      <c r="F59" s="14"/>
      <c r="G59" s="105"/>
    </row>
    <row r="60" spans="1:10" ht="13.5" thickBot="1" x14ac:dyDescent="0.25">
      <c r="A60" s="64" t="s">
        <v>3</v>
      </c>
      <c r="D60" s="101">
        <f>SUM(D56:D59)</f>
        <v>837.10188067827596</v>
      </c>
      <c r="E60" s="56" t="s">
        <v>9</v>
      </c>
      <c r="F60" s="14"/>
      <c r="G60" s="105"/>
    </row>
    <row r="61" spans="1:10" ht="13.5" thickBot="1" x14ac:dyDescent="0.25">
      <c r="A61" s="5"/>
      <c r="D61" s="5"/>
      <c r="F61" s="14"/>
      <c r="G61" s="105"/>
    </row>
    <row r="62" spans="1:10" x14ac:dyDescent="0.2">
      <c r="A62" s="80" t="s">
        <v>270</v>
      </c>
      <c r="D62" s="99">
        <f>B52</f>
        <v>0</v>
      </c>
      <c r="E62" s="1" t="s">
        <v>10</v>
      </c>
      <c r="F62" s="14"/>
      <c r="G62" s="105"/>
    </row>
    <row r="63" spans="1:10" x14ac:dyDescent="0.2">
      <c r="A63" s="51" t="s">
        <v>71</v>
      </c>
      <c r="D63" s="145">
        <v>0.9</v>
      </c>
      <c r="E63" s="1" t="s">
        <v>212</v>
      </c>
      <c r="F63" s="14"/>
      <c r="G63" s="105"/>
    </row>
    <row r="64" spans="1:10" x14ac:dyDescent="0.2">
      <c r="A64" s="5" t="s">
        <v>179</v>
      </c>
      <c r="D64" s="106">
        <f>(D56+D57)*D62*D63</f>
        <v>0</v>
      </c>
      <c r="E64" s="1" t="s">
        <v>11</v>
      </c>
      <c r="F64" s="14"/>
      <c r="G64" s="5"/>
    </row>
    <row r="65" spans="1:8" x14ac:dyDescent="0.2">
      <c r="A65" s="13" t="s">
        <v>180</v>
      </c>
      <c r="D65" s="106">
        <f>(D58+D59)*D62*D63</f>
        <v>0</v>
      </c>
      <c r="E65" s="1" t="s">
        <v>11</v>
      </c>
      <c r="F65" s="14"/>
      <c r="G65" s="5"/>
    </row>
    <row r="66" spans="1:8" ht="13.5" thickBot="1" x14ac:dyDescent="0.25">
      <c r="A66" s="64" t="s">
        <v>152</v>
      </c>
      <c r="D66" s="103">
        <f>D60*D62*D63</f>
        <v>0</v>
      </c>
      <c r="E66" s="7" t="s">
        <v>11</v>
      </c>
      <c r="F66" s="14"/>
      <c r="G66" s="5"/>
    </row>
    <row r="67" spans="1:8" x14ac:dyDescent="0.2">
      <c r="F67" s="14"/>
      <c r="G67" s="5"/>
    </row>
    <row r="68" spans="1:8" x14ac:dyDescent="0.2">
      <c r="F68" s="14"/>
      <c r="G68" s="5"/>
    </row>
    <row r="69" spans="1:8" x14ac:dyDescent="0.2">
      <c r="F69" s="14"/>
      <c r="G69" s="5"/>
    </row>
    <row r="70" spans="1:8" x14ac:dyDescent="0.2">
      <c r="F70" s="14"/>
      <c r="G70" s="5"/>
    </row>
    <row r="71" spans="1:8" x14ac:dyDescent="0.2">
      <c r="F71" s="14"/>
      <c r="G71" s="5"/>
    </row>
    <row r="72" spans="1:8" x14ac:dyDescent="0.2">
      <c r="F72" s="14"/>
      <c r="G72" s="5"/>
    </row>
    <row r="73" spans="1:8" x14ac:dyDescent="0.2">
      <c r="F73" s="14"/>
      <c r="G73" s="5"/>
    </row>
    <row r="74" spans="1:8" x14ac:dyDescent="0.2">
      <c r="A74" s="280" t="s">
        <v>24</v>
      </c>
      <c r="B74" s="280"/>
      <c r="C74" s="280"/>
      <c r="D74" s="280"/>
      <c r="F74" s="14"/>
      <c r="G74" s="5"/>
    </row>
    <row r="75" spans="1:8" ht="21.75" customHeight="1" x14ac:dyDescent="0.2">
      <c r="A75" s="280"/>
      <c r="B75" s="280"/>
      <c r="C75" s="280"/>
      <c r="D75" s="280"/>
      <c r="E75" s="157"/>
      <c r="F75" s="157"/>
      <c r="G75" s="157"/>
      <c r="H75" s="157"/>
    </row>
    <row r="76" spans="1:8" ht="21.75" customHeight="1" x14ac:dyDescent="0.2">
      <c r="A76" s="280"/>
      <c r="B76" s="280"/>
      <c r="C76" s="280"/>
      <c r="D76" s="280"/>
      <c r="E76" s="157"/>
      <c r="F76" s="157"/>
      <c r="G76" s="157"/>
      <c r="H76" s="157"/>
    </row>
    <row r="77" spans="1:8" ht="21.75" customHeight="1" x14ac:dyDescent="0.2">
      <c r="A77" s="280"/>
      <c r="B77" s="280"/>
      <c r="C77" s="280"/>
      <c r="D77" s="280"/>
      <c r="E77" s="157"/>
      <c r="F77" s="157"/>
      <c r="G77" s="157"/>
      <c r="H77" s="157"/>
    </row>
    <row r="78" spans="1:8" ht="18.75" customHeight="1" x14ac:dyDescent="0.2">
      <c r="A78" s="282"/>
      <c r="B78" s="282"/>
      <c r="C78" s="282"/>
      <c r="D78" s="282"/>
    </row>
    <row r="79" spans="1:8" x14ac:dyDescent="0.2">
      <c r="A79" s="1" t="s">
        <v>0</v>
      </c>
      <c r="D79" s="10" t="s">
        <v>2</v>
      </c>
    </row>
    <row r="80" spans="1:8" ht="18.75" customHeight="1" x14ac:dyDescent="0.2">
      <c r="A80" s="11"/>
      <c r="B80" s="11"/>
      <c r="C80" s="11"/>
      <c r="D80" s="11"/>
    </row>
    <row r="81" spans="1:8" x14ac:dyDescent="0.2">
      <c r="A81" s="1" t="s">
        <v>1</v>
      </c>
    </row>
    <row r="82" spans="1:8" x14ac:dyDescent="0.2">
      <c r="H82" s="57" t="s">
        <v>288</v>
      </c>
    </row>
  </sheetData>
  <sheetProtection algorithmName="SHA-512" hashValue="PabeBwmMQjhrbSlT/8ACyYmCFCNJMu2w/gkjJRULD51qE11phpY+L82F8fuRIYLO0nGESpiavPCpUy+m3YjyUQ==" saltValue="+6o6u3yomG1MAtY/LNnk6Q==" spinCount="100000" sheet="1" objects="1" scenarios="1"/>
  <mergeCells count="14">
    <mergeCell ref="D8:E8"/>
    <mergeCell ref="I4:J4"/>
    <mergeCell ref="D4:G4"/>
    <mergeCell ref="D2:J2"/>
    <mergeCell ref="A78:D78"/>
    <mergeCell ref="C44:C46"/>
    <mergeCell ref="D44:D46"/>
    <mergeCell ref="A74:D77"/>
    <mergeCell ref="D7:E7"/>
    <mergeCell ref="A44:A46"/>
    <mergeCell ref="B44:B46"/>
    <mergeCell ref="D9:E9"/>
    <mergeCell ref="A4:B4"/>
    <mergeCell ref="D6:E6"/>
  </mergeCells>
  <phoneticPr fontId="8" type="noConversion"/>
  <dataValidations count="8">
    <dataValidation type="decimal" allowBlank="1" showInputMessage="1" showErrorMessage="1" errorTitle="Valeur autorisée" error="La valeur saisie doit être comprise entre 0 et 3,2%" sqref="D24">
      <formula1>0</formula1>
      <formula2>0.032</formula2>
    </dataValidation>
    <dataValidation type="decimal" allowBlank="1" showInputMessage="1" showErrorMessage="1" errorTitle="Valeur autorisée" error="La valeur saisie doit être comprise entre 0 et 1,2%" sqref="D40">
      <formula1>0</formula1>
      <formula2>0.012</formula2>
    </dataValidation>
    <dataValidation type="list" allowBlank="1" showInputMessage="1" showErrorMessage="1" sqref="D63">
      <formula1>Investissement</formula1>
    </dataValidation>
    <dataValidation type="list" allowBlank="1" showInputMessage="1" showErrorMessage="1" sqref="D32">
      <formula1>Sup</formula1>
    </dataValidation>
    <dataValidation type="list" allowBlank="1" showInputMessage="1" showErrorMessage="1" sqref="D33">
      <formula1>Qualite</formula1>
    </dataValidation>
    <dataValidation type="list" allowBlank="1" showInputMessage="1" showErrorMessage="1" sqref="D34">
      <formula1>InvAT</formula1>
    </dataValidation>
    <dataValidation type="list" allowBlank="1" showInputMessage="1" showErrorMessage="1" sqref="D35">
      <formula1>Rapport</formula1>
    </dataValidation>
    <dataValidation type="decimal" operator="greaterThanOrEqual" allowBlank="1" showInputMessage="1" showErrorMessage="1" errorTitle="Valeur autorisée" error="La valeur saisie doit être supérieure à 15 m_x000a__x000a_Laissez la cellule vide si non applicable" sqref="D21">
      <formula1>15</formula1>
    </dataValidation>
  </dataValidations>
  <printOptions horizontalCentered="1"/>
  <pageMargins left="0" right="0" top="0" bottom="0" header="0.51181102362204722" footer="0.51181102362204722"/>
  <pageSetup paperSize="5" scale="78" orientation="portrait" r:id="rId1"/>
  <headerFooter alignWithMargins="0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N83"/>
  <sheetViews>
    <sheetView showGridLines="0" zoomScaleNormal="100" workbookViewId="0">
      <selection activeCell="M12" sqref="M12"/>
    </sheetView>
  </sheetViews>
  <sheetFormatPr baseColWidth="10" defaultColWidth="11.42578125" defaultRowHeight="12.75" x14ac:dyDescent="0.2"/>
  <cols>
    <col min="1" max="1" width="11.42578125" style="1"/>
    <col min="2" max="2" width="13.28515625" style="1" customWidth="1"/>
    <col min="3" max="4" width="11.42578125" style="1"/>
    <col min="5" max="5" width="8.28515625" style="1" customWidth="1"/>
    <col min="6" max="6" width="39.140625" style="1" customWidth="1"/>
    <col min="7" max="7" width="13" style="1" customWidth="1"/>
    <col min="8" max="8" width="14.42578125" style="1" customWidth="1"/>
    <col min="9" max="9" width="6.5703125" style="1" customWidth="1"/>
    <col min="10" max="10" width="1.85546875" style="19" customWidth="1"/>
    <col min="11" max="16384" width="11.42578125" style="1"/>
  </cols>
  <sheetData>
    <row r="1" spans="1:11" s="2" customFormat="1" ht="21.75" customHeight="1" x14ac:dyDescent="0.2">
      <c r="A1" s="22"/>
      <c r="B1" s="22"/>
      <c r="C1" s="22"/>
      <c r="D1" s="22"/>
      <c r="E1" s="22"/>
      <c r="F1" s="22"/>
      <c r="G1" s="22"/>
      <c r="J1" s="271"/>
    </row>
    <row r="2" spans="1:11" s="2" customFormat="1" ht="101.25" customHeight="1" x14ac:dyDescent="0.2">
      <c r="A2" s="22"/>
      <c r="B2" s="22"/>
      <c r="C2" s="22"/>
      <c r="D2" s="310" t="s">
        <v>271</v>
      </c>
      <c r="E2" s="310"/>
      <c r="F2" s="310"/>
      <c r="G2" s="310"/>
      <c r="H2" s="310"/>
      <c r="I2" s="310"/>
      <c r="J2" s="163"/>
    </row>
    <row r="4" spans="1:11" s="2" customFormat="1" ht="37.5" customHeight="1" x14ac:dyDescent="0.2">
      <c r="A4" s="312" t="s">
        <v>278</v>
      </c>
      <c r="B4" s="312"/>
      <c r="C4" s="17"/>
      <c r="D4" s="312" t="s">
        <v>279</v>
      </c>
      <c r="E4" s="312"/>
      <c r="F4" s="312"/>
      <c r="G4" s="18"/>
      <c r="H4" s="312" t="s">
        <v>22</v>
      </c>
      <c r="I4" s="312"/>
      <c r="J4" s="271"/>
    </row>
    <row r="6" spans="1:11" x14ac:dyDescent="0.2">
      <c r="A6" s="1" t="s">
        <v>287</v>
      </c>
      <c r="D6" s="317"/>
      <c r="E6" s="318"/>
    </row>
    <row r="7" spans="1:11" x14ac:dyDescent="0.2">
      <c r="A7" s="1" t="s">
        <v>13</v>
      </c>
      <c r="D7" s="305"/>
      <c r="E7" s="305"/>
    </row>
    <row r="8" spans="1:11" x14ac:dyDescent="0.2">
      <c r="A8" s="1" t="s">
        <v>14</v>
      </c>
      <c r="D8" s="305"/>
      <c r="E8" s="305"/>
    </row>
    <row r="9" spans="1:11" x14ac:dyDescent="0.2">
      <c r="A9" s="1" t="s">
        <v>234</v>
      </c>
      <c r="D9" s="308"/>
      <c r="E9" s="309"/>
    </row>
    <row r="10" spans="1:11" x14ac:dyDescent="0.2">
      <c r="D10" s="15"/>
      <c r="E10" s="15"/>
    </row>
    <row r="11" spans="1:11" ht="22.5" customHeight="1" x14ac:dyDescent="0.2">
      <c r="A11" s="70" t="s">
        <v>175</v>
      </c>
      <c r="B11" s="68"/>
      <c r="C11" s="68"/>
      <c r="D11" s="68"/>
      <c r="E11" s="164"/>
      <c r="F11" s="68"/>
      <c r="G11" s="68"/>
      <c r="H11" s="68"/>
      <c r="I11" s="68"/>
    </row>
    <row r="12" spans="1:11" ht="15" customHeight="1" x14ac:dyDescent="0.2">
      <c r="A12" s="82"/>
      <c r="B12" s="19"/>
      <c r="C12" s="19"/>
      <c r="D12" s="165" t="s">
        <v>162</v>
      </c>
      <c r="E12" s="15"/>
      <c r="F12" s="19"/>
      <c r="G12" s="83" t="s">
        <v>20</v>
      </c>
      <c r="H12" s="19"/>
      <c r="I12" s="19"/>
    </row>
    <row r="13" spans="1:11" ht="15.75" customHeight="1" thickBot="1" x14ac:dyDescent="0.25">
      <c r="A13" s="3" t="s">
        <v>174</v>
      </c>
      <c r="F13" s="3"/>
    </row>
    <row r="14" spans="1:11" ht="15" customHeight="1" thickBot="1" x14ac:dyDescent="0.25">
      <c r="A14" s="1" t="s">
        <v>237</v>
      </c>
      <c r="D14" s="146">
        <v>40</v>
      </c>
      <c r="E14" s="1" t="s">
        <v>163</v>
      </c>
      <c r="G14" s="93">
        <f>(-0.014*$D14 + 239/$D14 + 3.01*EXP(-0.0069*$D14)- 0.24)</f>
        <v>7.4590269215913354</v>
      </c>
      <c r="H14" s="6" t="s">
        <v>167</v>
      </c>
      <c r="K14" s="10"/>
    </row>
    <row r="15" spans="1:11" ht="15" customHeight="1" x14ac:dyDescent="0.2">
      <c r="A15" s="1" t="s">
        <v>164</v>
      </c>
      <c r="D15" s="147">
        <v>0.15</v>
      </c>
      <c r="E15" s="1" t="s">
        <v>165</v>
      </c>
      <c r="G15" s="166"/>
      <c r="H15" s="6"/>
    </row>
    <row r="16" spans="1:11" ht="15" customHeight="1" thickBot="1" x14ac:dyDescent="0.25">
      <c r="A16" s="1" t="s">
        <v>185</v>
      </c>
      <c r="D16" s="148">
        <v>0.15</v>
      </c>
      <c r="E16" s="1" t="s">
        <v>165</v>
      </c>
      <c r="G16" s="14"/>
      <c r="H16" s="6"/>
    </row>
    <row r="17" spans="1:14" ht="15" customHeight="1" x14ac:dyDescent="0.2">
      <c r="D17" s="113"/>
    </row>
    <row r="18" spans="1:14" ht="15.75" customHeight="1" x14ac:dyDescent="0.2">
      <c r="A18" s="3" t="s">
        <v>170</v>
      </c>
      <c r="D18" s="113"/>
      <c r="E18" s="4"/>
      <c r="H18" s="4"/>
      <c r="I18" s="4"/>
    </row>
    <row r="19" spans="1:14" s="57" customFormat="1" ht="15" customHeight="1" x14ac:dyDescent="0.2">
      <c r="D19" s="12"/>
      <c r="E19" s="58"/>
      <c r="H19" s="58"/>
      <c r="I19" s="58"/>
      <c r="J19" s="231"/>
    </row>
    <row r="20" spans="1:14" ht="15" customHeight="1" thickBot="1" x14ac:dyDescent="0.25">
      <c r="A20" s="56" t="s">
        <v>173</v>
      </c>
      <c r="B20" s="8"/>
      <c r="C20" s="8"/>
      <c r="D20" s="114"/>
    </row>
    <row r="21" spans="1:14" ht="15" thickBot="1" x14ac:dyDescent="0.25">
      <c r="A21" s="5" t="s">
        <v>172</v>
      </c>
      <c r="B21" s="8"/>
      <c r="C21" s="8"/>
      <c r="D21" s="116"/>
      <c r="E21" s="152" t="s">
        <v>212</v>
      </c>
      <c r="F21" s="59"/>
      <c r="G21" s="95">
        <f>G14*D21</f>
        <v>0</v>
      </c>
      <c r="H21" s="5" t="s">
        <v>167</v>
      </c>
    </row>
    <row r="22" spans="1:14" ht="13.5" thickBot="1" x14ac:dyDescent="0.25">
      <c r="A22" s="5"/>
      <c r="B22" s="8"/>
      <c r="C22" s="8"/>
      <c r="D22" s="170"/>
      <c r="E22" s="91"/>
      <c r="F22" s="59"/>
      <c r="G22" s="107"/>
      <c r="H22" s="5"/>
    </row>
    <row r="23" spans="1:14" ht="14.25" x14ac:dyDescent="0.2">
      <c r="A23" s="5"/>
      <c r="B23" s="8"/>
      <c r="C23" s="8"/>
      <c r="D23" s="170"/>
      <c r="F23" s="277" t="s">
        <v>178</v>
      </c>
      <c r="G23" s="96">
        <f>(G14+G21)</f>
        <v>7.4590269215913354</v>
      </c>
      <c r="H23" s="5" t="s">
        <v>167</v>
      </c>
    </row>
    <row r="24" spans="1:14" ht="13.5" thickBot="1" x14ac:dyDescent="0.25">
      <c r="A24" s="5"/>
      <c r="B24" s="8"/>
      <c r="C24" s="8"/>
      <c r="D24" s="170"/>
      <c r="F24" s="278" t="s">
        <v>178</v>
      </c>
      <c r="G24" s="97">
        <f>G23*D14</f>
        <v>298.36107686365341</v>
      </c>
      <c r="H24" s="5" t="s">
        <v>9</v>
      </c>
    </row>
    <row r="25" spans="1:14" ht="15" customHeight="1" x14ac:dyDescent="0.2">
      <c r="A25" s="5"/>
      <c r="B25" s="8"/>
      <c r="C25" s="8"/>
      <c r="D25" s="114"/>
      <c r="G25" s="53"/>
    </row>
    <row r="26" spans="1:14" ht="22.5" customHeight="1" x14ac:dyDescent="0.2">
      <c r="A26" s="65" t="s">
        <v>176</v>
      </c>
      <c r="B26" s="66"/>
      <c r="C26" s="66"/>
      <c r="D26" s="171"/>
      <c r="E26" s="164"/>
      <c r="F26" s="68"/>
      <c r="G26" s="77"/>
      <c r="H26" s="68"/>
      <c r="I26" s="68"/>
    </row>
    <row r="27" spans="1:14" ht="15" customHeight="1" x14ac:dyDescent="0.2">
      <c r="A27" s="5"/>
      <c r="B27" s="8"/>
      <c r="C27" s="8"/>
      <c r="D27" s="172" t="s">
        <v>162</v>
      </c>
      <c r="E27" s="15"/>
      <c r="F27" s="19"/>
      <c r="G27" s="83" t="s">
        <v>20</v>
      </c>
    </row>
    <row r="28" spans="1:14" ht="15.75" customHeight="1" thickBot="1" x14ac:dyDescent="0.25">
      <c r="A28" s="3" t="s">
        <v>186</v>
      </c>
      <c r="D28" s="129"/>
      <c r="G28" s="20"/>
    </row>
    <row r="29" spans="1:14" ht="15" customHeight="1" thickBot="1" x14ac:dyDescent="0.25">
      <c r="A29" s="5" t="s">
        <v>17</v>
      </c>
      <c r="B29" s="8"/>
      <c r="C29" s="8"/>
      <c r="D29" s="130"/>
      <c r="E29" s="1" t="s">
        <v>9</v>
      </c>
      <c r="G29" s="98">
        <f>SUM(D29:D32)</f>
        <v>0</v>
      </c>
      <c r="H29" s="19" t="s">
        <v>9</v>
      </c>
      <c r="I29" s="19"/>
    </row>
    <row r="30" spans="1:14" ht="15" customHeight="1" x14ac:dyDescent="0.2">
      <c r="A30" s="5" t="s">
        <v>153</v>
      </c>
      <c r="B30" s="8"/>
      <c r="C30" s="8"/>
      <c r="D30" s="131"/>
      <c r="E30" s="1" t="s">
        <v>9</v>
      </c>
      <c r="G30" s="61"/>
      <c r="H30" s="19"/>
      <c r="I30" s="19"/>
    </row>
    <row r="31" spans="1:14" ht="15" customHeight="1" x14ac:dyDescent="0.2">
      <c r="A31" s="5" t="s">
        <v>18</v>
      </c>
      <c r="B31" s="8"/>
      <c r="C31" s="8"/>
      <c r="D31" s="132"/>
      <c r="E31" s="1" t="s">
        <v>9</v>
      </c>
      <c r="G31" s="61"/>
      <c r="H31" s="19"/>
      <c r="I31" s="19"/>
      <c r="N31" s="90"/>
    </row>
    <row r="32" spans="1:14" ht="15" customHeight="1" thickBot="1" x14ac:dyDescent="0.25">
      <c r="A32" s="5" t="s">
        <v>19</v>
      </c>
      <c r="B32" s="8"/>
      <c r="C32" s="8"/>
      <c r="D32" s="133"/>
      <c r="E32" s="1" t="s">
        <v>9</v>
      </c>
      <c r="G32" s="61"/>
    </row>
    <row r="33" spans="1:9" ht="15" customHeight="1" x14ac:dyDescent="0.2">
      <c r="A33" s="5"/>
      <c r="B33" s="8"/>
      <c r="C33" s="8"/>
      <c r="D33" s="134"/>
    </row>
    <row r="34" spans="1:9" ht="15.75" customHeight="1" x14ac:dyDescent="0.2">
      <c r="A34" s="3" t="s">
        <v>170</v>
      </c>
      <c r="B34" s="8"/>
      <c r="C34" s="8"/>
      <c r="D34" s="135"/>
      <c r="E34" s="9"/>
    </row>
    <row r="35" spans="1:9" ht="15" customHeight="1" x14ac:dyDescent="0.2">
      <c r="A35" s="5"/>
      <c r="B35" s="8"/>
      <c r="C35" s="8"/>
      <c r="D35" s="135"/>
    </row>
    <row r="36" spans="1:9" ht="15" customHeight="1" thickBot="1" x14ac:dyDescent="0.25">
      <c r="A36" s="64" t="s">
        <v>177</v>
      </c>
      <c r="B36" s="8"/>
      <c r="C36" s="8"/>
      <c r="D36" s="135"/>
    </row>
    <row r="37" spans="1:9" ht="15" customHeight="1" thickBot="1" x14ac:dyDescent="0.25">
      <c r="A37" s="5" t="s">
        <v>172</v>
      </c>
      <c r="B37" s="8"/>
      <c r="C37" s="8"/>
      <c r="D37" s="116"/>
      <c r="E37" s="151" t="s">
        <v>212</v>
      </c>
      <c r="F37" s="59"/>
      <c r="G37" s="95">
        <f>G29*D37</f>
        <v>0</v>
      </c>
      <c r="H37" s="5" t="s">
        <v>9</v>
      </c>
    </row>
    <row r="38" spans="1:9" ht="15" customHeight="1" x14ac:dyDescent="0.2">
      <c r="A38" s="5"/>
      <c r="B38" s="8"/>
      <c r="C38" s="8"/>
      <c r="D38" s="4"/>
      <c r="F38" s="5"/>
      <c r="G38" s="5"/>
    </row>
    <row r="39" spans="1:9" ht="22.5" customHeight="1" x14ac:dyDescent="0.2">
      <c r="A39" s="65" t="s">
        <v>269</v>
      </c>
      <c r="B39" s="66"/>
      <c r="C39" s="66"/>
      <c r="D39" s="67"/>
      <c r="E39" s="68"/>
      <c r="F39" s="69"/>
      <c r="G39" s="78"/>
      <c r="H39" s="68"/>
      <c r="I39" s="68"/>
    </row>
    <row r="40" spans="1:9" ht="13.5" thickBot="1" x14ac:dyDescent="0.25">
      <c r="B40" s="4"/>
      <c r="C40" s="4"/>
      <c r="D40" s="4"/>
      <c r="F40" s="5"/>
      <c r="G40" s="5"/>
    </row>
    <row r="41" spans="1:9" ht="12.75" customHeight="1" x14ac:dyDescent="0.2">
      <c r="A41" s="319" t="s">
        <v>181</v>
      </c>
      <c r="B41" s="292" t="s">
        <v>183</v>
      </c>
      <c r="C41" s="313" t="s">
        <v>263</v>
      </c>
      <c r="D41" s="315" t="s">
        <v>264</v>
      </c>
    </row>
    <row r="42" spans="1:9" x14ac:dyDescent="0.2">
      <c r="A42" s="320"/>
      <c r="B42" s="293"/>
      <c r="C42" s="314"/>
      <c r="D42" s="316"/>
    </row>
    <row r="43" spans="1:9" x14ac:dyDescent="0.2">
      <c r="A43" s="321"/>
      <c r="B43" s="294"/>
      <c r="C43" s="314"/>
      <c r="D43" s="316"/>
    </row>
    <row r="44" spans="1:9" x14ac:dyDescent="0.2">
      <c r="A44" s="74" t="s">
        <v>4</v>
      </c>
      <c r="B44" s="143"/>
      <c r="C44" s="272">
        <f>$G$24*(1+0)</f>
        <v>298.36107686365341</v>
      </c>
      <c r="D44" s="273">
        <f>C44-$G$24</f>
        <v>0</v>
      </c>
    </row>
    <row r="45" spans="1:9" x14ac:dyDescent="0.2">
      <c r="A45" s="74" t="s">
        <v>5</v>
      </c>
      <c r="B45" s="143"/>
      <c r="C45" s="272">
        <f>$G$24*(1+0)</f>
        <v>298.36107686365341</v>
      </c>
      <c r="D45" s="273">
        <f>C45-$G$24</f>
        <v>0</v>
      </c>
    </row>
    <row r="46" spans="1:9" x14ac:dyDescent="0.2">
      <c r="A46" s="74" t="s">
        <v>6</v>
      </c>
      <c r="B46" s="143"/>
      <c r="C46" s="272">
        <f>$G$24*(1+0.007)</f>
        <v>300.44960440169893</v>
      </c>
      <c r="D46" s="273">
        <f>C46-$G$24</f>
        <v>2.0885275380455255</v>
      </c>
    </row>
    <row r="47" spans="1:9" x14ac:dyDescent="0.2">
      <c r="A47" s="74" t="s">
        <v>7</v>
      </c>
      <c r="B47" s="143"/>
      <c r="C47" s="272">
        <f>$G$24*(1+0.026)</f>
        <v>306.1184648621084</v>
      </c>
      <c r="D47" s="273">
        <f>C47-$G$24</f>
        <v>7.7573879984549876</v>
      </c>
    </row>
    <row r="48" spans="1:9" x14ac:dyDescent="0.2">
      <c r="A48" s="74" t="s">
        <v>8</v>
      </c>
      <c r="B48" s="144"/>
      <c r="C48" s="272">
        <f>$G$24*(1+0.061)</f>
        <v>316.56110255233625</v>
      </c>
      <c r="D48" s="273">
        <f>C48-$G$24</f>
        <v>18.200025688682842</v>
      </c>
      <c r="E48" s="169"/>
      <c r="F48" s="16"/>
    </row>
    <row r="49" spans="1:10" ht="13.5" thickBot="1" x14ac:dyDescent="0.25">
      <c r="A49" s="75" t="s">
        <v>182</v>
      </c>
      <c r="B49" s="76">
        <f>SUM(B44:B48)</f>
        <v>0</v>
      </c>
      <c r="C49" s="274"/>
      <c r="D49" s="275">
        <f>IF(B49=0,0,SUMPRODUCT(D44:D48,B44:B48)/B49)</f>
        <v>0</v>
      </c>
      <c r="E49" s="169" t="s">
        <v>277</v>
      </c>
      <c r="F49" s="169"/>
    </row>
    <row r="50" spans="1:10" x14ac:dyDescent="0.2">
      <c r="A50" s="16"/>
      <c r="B50" s="16"/>
      <c r="C50" s="16"/>
      <c r="D50" s="72"/>
      <c r="E50" s="16"/>
    </row>
    <row r="51" spans="1:10" s="7" customFormat="1" ht="22.5" customHeight="1" x14ac:dyDescent="0.2">
      <c r="A51" s="84" t="s">
        <v>3</v>
      </c>
      <c r="B51" s="85"/>
      <c r="C51" s="85"/>
      <c r="D51" s="86"/>
      <c r="E51" s="85"/>
      <c r="F51" s="87"/>
      <c r="G51" s="87"/>
      <c r="H51" s="87"/>
      <c r="I51" s="87"/>
      <c r="J51" s="124"/>
    </row>
    <row r="52" spans="1:10" ht="13.5" thickBot="1" x14ac:dyDescent="0.25">
      <c r="A52" s="16"/>
      <c r="B52" s="16"/>
      <c r="C52" s="16"/>
      <c r="D52" s="72"/>
      <c r="E52" s="16"/>
    </row>
    <row r="53" spans="1:10" x14ac:dyDescent="0.2">
      <c r="A53" s="5" t="s">
        <v>175</v>
      </c>
      <c r="D53" s="99">
        <f>G14*D14</f>
        <v>298.36107686365341</v>
      </c>
      <c r="E53" s="1" t="s">
        <v>9</v>
      </c>
      <c r="F53" s="14"/>
      <c r="G53" s="105"/>
    </row>
    <row r="54" spans="1:10" x14ac:dyDescent="0.2">
      <c r="A54" s="5" t="s">
        <v>231</v>
      </c>
      <c r="D54" s="161">
        <f>(G21)*D14+D49</f>
        <v>0</v>
      </c>
      <c r="E54" s="1" t="s">
        <v>9</v>
      </c>
      <c r="F54" s="14"/>
      <c r="G54" s="105"/>
    </row>
    <row r="55" spans="1:10" x14ac:dyDescent="0.2">
      <c r="A55" s="5" t="s">
        <v>176</v>
      </c>
      <c r="D55" s="100">
        <f>G29</f>
        <v>0</v>
      </c>
      <c r="E55" s="1" t="s">
        <v>9</v>
      </c>
      <c r="F55" s="14"/>
      <c r="G55" s="105"/>
    </row>
    <row r="56" spans="1:10" x14ac:dyDescent="0.2">
      <c r="A56" s="5" t="s">
        <v>232</v>
      </c>
      <c r="D56" s="162">
        <f>G37</f>
        <v>0</v>
      </c>
      <c r="E56" s="1" t="s">
        <v>9</v>
      </c>
      <c r="F56" s="14"/>
      <c r="G56" s="105"/>
    </row>
    <row r="57" spans="1:10" ht="13.5" thickBot="1" x14ac:dyDescent="0.25">
      <c r="A57" s="64" t="s">
        <v>3</v>
      </c>
      <c r="D57" s="101">
        <f>SUM(D53:D56)</f>
        <v>298.36107686365341</v>
      </c>
      <c r="E57" s="56" t="s">
        <v>9</v>
      </c>
      <c r="F57" s="14"/>
      <c r="G57" s="105"/>
    </row>
    <row r="58" spans="1:10" ht="13.5" thickBot="1" x14ac:dyDescent="0.25">
      <c r="A58" s="5"/>
      <c r="D58" s="5"/>
      <c r="F58" s="14"/>
      <c r="G58" s="105"/>
    </row>
    <row r="59" spans="1:10" x14ac:dyDescent="0.2">
      <c r="A59" s="80" t="s">
        <v>270</v>
      </c>
      <c r="D59" s="99">
        <f>B49</f>
        <v>0</v>
      </c>
      <c r="E59" s="1" t="s">
        <v>10</v>
      </c>
      <c r="F59" s="14"/>
      <c r="G59" s="105"/>
    </row>
    <row r="60" spans="1:10" x14ac:dyDescent="0.2">
      <c r="A60" s="51" t="s">
        <v>71</v>
      </c>
      <c r="D60" s="145">
        <v>0.9</v>
      </c>
      <c r="E60" s="1" t="s">
        <v>212</v>
      </c>
      <c r="F60" s="14"/>
      <c r="G60" s="105"/>
    </row>
    <row r="61" spans="1:10" x14ac:dyDescent="0.2">
      <c r="A61" s="5" t="s">
        <v>179</v>
      </c>
      <c r="D61" s="106">
        <f>(D53+D54)*D59*D60</f>
        <v>0</v>
      </c>
      <c r="E61" s="1" t="s">
        <v>11</v>
      </c>
      <c r="F61" s="14"/>
      <c r="G61" s="5"/>
    </row>
    <row r="62" spans="1:10" x14ac:dyDescent="0.2">
      <c r="A62" s="13" t="s">
        <v>180</v>
      </c>
      <c r="D62" s="106">
        <f>(D55+D56)*D59*D60</f>
        <v>0</v>
      </c>
      <c r="E62" s="1" t="s">
        <v>11</v>
      </c>
      <c r="F62" s="14"/>
      <c r="G62" s="5"/>
    </row>
    <row r="63" spans="1:10" ht="13.5" thickBot="1" x14ac:dyDescent="0.25">
      <c r="A63" s="64" t="s">
        <v>152</v>
      </c>
      <c r="D63" s="103">
        <f>D57*D59*D60</f>
        <v>0</v>
      </c>
      <c r="E63" s="7" t="s">
        <v>11</v>
      </c>
      <c r="F63" s="14"/>
      <c r="G63" s="5"/>
    </row>
    <row r="64" spans="1:10" x14ac:dyDescent="0.2">
      <c r="F64" s="14"/>
      <c r="G64" s="5"/>
    </row>
    <row r="65" spans="1:8" x14ac:dyDescent="0.2">
      <c r="F65" s="14"/>
      <c r="G65" s="5"/>
    </row>
    <row r="66" spans="1:8" x14ac:dyDescent="0.2">
      <c r="F66" s="14"/>
      <c r="G66" s="5"/>
    </row>
    <row r="67" spans="1:8" x14ac:dyDescent="0.2">
      <c r="F67" s="14"/>
      <c r="G67" s="5"/>
    </row>
    <row r="68" spans="1:8" x14ac:dyDescent="0.2">
      <c r="F68" s="14"/>
      <c r="G68" s="5"/>
    </row>
    <row r="69" spans="1:8" x14ac:dyDescent="0.2">
      <c r="F69" s="14"/>
      <c r="G69" s="5"/>
    </row>
    <row r="70" spans="1:8" x14ac:dyDescent="0.2">
      <c r="F70" s="14"/>
      <c r="G70" s="5"/>
    </row>
    <row r="71" spans="1:8" ht="12.75" customHeight="1" x14ac:dyDescent="0.2">
      <c r="A71" s="280" t="s">
        <v>24</v>
      </c>
      <c r="B71" s="280"/>
      <c r="C71" s="280"/>
      <c r="D71" s="280"/>
      <c r="F71" s="14"/>
      <c r="G71" s="5"/>
    </row>
    <row r="72" spans="1:8" x14ac:dyDescent="0.2">
      <c r="A72" s="280"/>
      <c r="B72" s="280"/>
      <c r="C72" s="280"/>
      <c r="D72" s="280"/>
      <c r="F72" s="14"/>
      <c r="G72" s="5"/>
    </row>
    <row r="73" spans="1:8" x14ac:dyDescent="0.2">
      <c r="A73" s="280"/>
      <c r="B73" s="280"/>
      <c r="C73" s="280"/>
      <c r="D73" s="280"/>
      <c r="F73" s="14"/>
      <c r="G73" s="5"/>
    </row>
    <row r="74" spans="1:8" ht="12.75" customHeight="1" x14ac:dyDescent="0.2">
      <c r="A74" s="280"/>
      <c r="B74" s="280"/>
      <c r="C74" s="280"/>
      <c r="D74" s="280"/>
      <c r="F74" s="14"/>
      <c r="G74" s="5"/>
    </row>
    <row r="75" spans="1:8" ht="25.5" customHeight="1" x14ac:dyDescent="0.2">
      <c r="A75" s="157"/>
      <c r="B75" s="157"/>
      <c r="C75" s="157"/>
      <c r="D75" s="157"/>
      <c r="E75" s="157"/>
      <c r="F75" s="157"/>
      <c r="G75" s="157"/>
      <c r="H75" s="157"/>
    </row>
    <row r="76" spans="1:8" ht="18.75" customHeight="1" x14ac:dyDescent="0.2">
      <c r="A76" s="282"/>
      <c r="B76" s="282"/>
      <c r="C76" s="282"/>
      <c r="D76" s="282"/>
    </row>
    <row r="77" spans="1:8" x14ac:dyDescent="0.2">
      <c r="A77" s="1" t="s">
        <v>0</v>
      </c>
      <c r="D77" s="10" t="s">
        <v>2</v>
      </c>
    </row>
    <row r="78" spans="1:8" ht="18.75" customHeight="1" x14ac:dyDescent="0.2">
      <c r="A78" s="11"/>
      <c r="B78" s="11"/>
      <c r="C78" s="11"/>
      <c r="D78" s="11"/>
    </row>
    <row r="79" spans="1:8" x14ac:dyDescent="0.2">
      <c r="A79" s="1" t="s">
        <v>1</v>
      </c>
      <c r="H79" s="12"/>
    </row>
    <row r="83" spans="8:8" x14ac:dyDescent="0.2">
      <c r="H83" s="57" t="s">
        <v>288</v>
      </c>
    </row>
  </sheetData>
  <sheetProtection algorithmName="SHA-512" hashValue="qndyMxHPcqoymEiAWxMasrB6eZRX2X8DA8sx1s3RXzbHAyVhTOUZWGet9eid15hV4SAHkT5ghRKetvfQhfxSUQ==" saltValue="kqhm1v2Rztj0RZ0Eu2QjbA==" spinCount="100000" sheet="1" objects="1" scenarios="1"/>
  <mergeCells count="14">
    <mergeCell ref="A76:D76"/>
    <mergeCell ref="A4:B4"/>
    <mergeCell ref="D4:F4"/>
    <mergeCell ref="D8:E8"/>
    <mergeCell ref="D9:E9"/>
    <mergeCell ref="A41:A43"/>
    <mergeCell ref="B41:B43"/>
    <mergeCell ref="A71:D74"/>
    <mergeCell ref="D6:E6"/>
    <mergeCell ref="D2:I2"/>
    <mergeCell ref="D7:E7"/>
    <mergeCell ref="H4:I4"/>
    <mergeCell ref="C41:C43"/>
    <mergeCell ref="D41:D43"/>
  </mergeCells>
  <phoneticPr fontId="8" type="noConversion"/>
  <dataValidations count="7">
    <dataValidation type="decimal" allowBlank="1" showInputMessage="1" showErrorMessage="1" errorTitle="Valeur autorisée" error="La valeur saisie doit être comprise entre 0 et 1,2%" sqref="D37">
      <formula1>0</formula1>
      <formula2>0.012</formula2>
    </dataValidation>
    <dataValidation type="list" allowBlank="1" showInputMessage="1" showErrorMessage="1" sqref="D60">
      <formula1>Investissement</formula1>
    </dataValidation>
    <dataValidation type="list" allowBlank="1" showInputMessage="1" showErrorMessage="1" sqref="D29">
      <formula1>Sup</formula1>
    </dataValidation>
    <dataValidation type="list" allowBlank="1" showInputMessage="1" showErrorMessage="1" sqref="D30">
      <formula1>Qualite</formula1>
    </dataValidation>
    <dataValidation type="list" allowBlank="1" showInputMessage="1" showErrorMessage="1" sqref="D31">
      <formula1>InvAT</formula1>
    </dataValidation>
    <dataValidation type="list" allowBlank="1" showInputMessage="1" showErrorMessage="1" sqref="D32">
      <formula1>Rapport</formula1>
    </dataValidation>
    <dataValidation type="decimal" allowBlank="1" showInputMessage="1" showErrorMessage="1" errorTitle="Valeur autorisée" error="La valeur saisie doit être comprise entre 0 et 3,2%" sqref="D21">
      <formula1>0</formula1>
      <formula2>0.032</formula2>
    </dataValidation>
  </dataValidations>
  <printOptions horizontalCentered="1"/>
  <pageMargins left="0" right="0" top="0" bottom="0" header="0.51181102362204722" footer="0.51181102362204722"/>
  <pageSetup paperSize="5" scale="79" orientation="portrait" r:id="rId1"/>
  <headerFooter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P80"/>
  <sheetViews>
    <sheetView showGridLines="0" zoomScaleNormal="100" workbookViewId="0">
      <selection activeCell="F20" sqref="F20:G20"/>
    </sheetView>
  </sheetViews>
  <sheetFormatPr baseColWidth="10" defaultColWidth="11.42578125" defaultRowHeight="12.75" x14ac:dyDescent="0.2"/>
  <cols>
    <col min="1" max="1" width="11.42578125" style="1"/>
    <col min="2" max="2" width="13.28515625" style="1" customWidth="1"/>
    <col min="3" max="3" width="2.5703125" style="1" customWidth="1"/>
    <col min="4" max="4" width="9.140625" style="1" customWidth="1"/>
    <col min="5" max="5" width="11.42578125" style="1"/>
    <col min="6" max="6" width="8.28515625" style="1" customWidth="1"/>
    <col min="7" max="7" width="39.140625" style="1" customWidth="1"/>
    <col min="8" max="8" width="6.7109375" style="1" customWidth="1"/>
    <col min="9" max="9" width="2.5703125" style="1" customWidth="1"/>
    <col min="10" max="10" width="14.42578125" style="1" customWidth="1"/>
    <col min="11" max="11" width="6.5703125" style="1" customWidth="1"/>
    <col min="12" max="12" width="1.85546875" style="19" customWidth="1"/>
    <col min="13" max="16384" width="11.42578125" style="1"/>
  </cols>
  <sheetData>
    <row r="1" spans="1:13" s="2" customFormat="1" ht="21.75" customHeight="1" x14ac:dyDescent="0.2">
      <c r="A1" s="22"/>
      <c r="B1" s="22"/>
      <c r="C1" s="22"/>
      <c r="D1" s="22"/>
      <c r="E1" s="22"/>
      <c r="F1" s="22"/>
      <c r="G1" s="22"/>
      <c r="H1" s="22"/>
      <c r="I1" s="22"/>
      <c r="L1" s="271"/>
    </row>
    <row r="2" spans="1:13" s="2" customFormat="1" ht="101.25" customHeight="1" x14ac:dyDescent="0.2">
      <c r="A2" s="22"/>
      <c r="B2" s="22"/>
      <c r="C2" s="22"/>
      <c r="D2" s="22"/>
      <c r="E2" s="310" t="s">
        <v>271</v>
      </c>
      <c r="F2" s="310"/>
      <c r="G2" s="310"/>
      <c r="H2" s="310"/>
      <c r="I2" s="310"/>
      <c r="J2" s="310"/>
      <c r="K2" s="310"/>
      <c r="L2" s="163"/>
    </row>
    <row r="4" spans="1:13" s="2" customFormat="1" ht="86.45" customHeight="1" x14ac:dyDescent="0.2">
      <c r="A4" s="312" t="s">
        <v>278</v>
      </c>
      <c r="B4" s="312"/>
      <c r="C4" s="270"/>
      <c r="D4" s="312" t="s">
        <v>280</v>
      </c>
      <c r="E4" s="312"/>
      <c r="F4" s="312"/>
      <c r="G4" s="312"/>
      <c r="H4" s="312"/>
      <c r="I4" s="269"/>
      <c r="J4" s="312" t="s">
        <v>21</v>
      </c>
      <c r="K4" s="312"/>
      <c r="L4" s="271"/>
    </row>
    <row r="6" spans="1:13" x14ac:dyDescent="0.2">
      <c r="A6" s="1" t="s">
        <v>287</v>
      </c>
      <c r="E6" s="317"/>
      <c r="F6" s="318"/>
    </row>
    <row r="7" spans="1:13" x14ac:dyDescent="0.2">
      <c r="A7" s="1" t="s">
        <v>13</v>
      </c>
      <c r="E7" s="305"/>
      <c r="F7" s="305"/>
    </row>
    <row r="8" spans="1:13" x14ac:dyDescent="0.2">
      <c r="A8" s="1" t="s">
        <v>14</v>
      </c>
      <c r="E8" s="305"/>
      <c r="F8" s="305"/>
    </row>
    <row r="9" spans="1:13" x14ac:dyDescent="0.2">
      <c r="A9" s="1" t="s">
        <v>234</v>
      </c>
      <c r="E9" s="308"/>
      <c r="F9" s="309"/>
    </row>
    <row r="10" spans="1:13" x14ac:dyDescent="0.2">
      <c r="E10" s="15"/>
      <c r="F10" s="15"/>
    </row>
    <row r="11" spans="1:13" ht="22.5" customHeight="1" x14ac:dyDescent="0.2">
      <c r="A11" s="70" t="s">
        <v>175</v>
      </c>
      <c r="B11" s="68"/>
      <c r="C11" s="68"/>
      <c r="D11" s="68"/>
      <c r="E11" s="68"/>
      <c r="F11" s="164"/>
      <c r="G11" s="68"/>
      <c r="H11" s="68"/>
      <c r="I11" s="68"/>
      <c r="J11" s="68"/>
      <c r="K11" s="68"/>
    </row>
    <row r="12" spans="1:13" ht="15" customHeight="1" x14ac:dyDescent="0.2">
      <c r="A12" s="82"/>
      <c r="B12" s="19"/>
      <c r="C12" s="19"/>
      <c r="D12" s="19"/>
      <c r="E12" s="165" t="s">
        <v>162</v>
      </c>
      <c r="F12" s="15"/>
      <c r="G12" s="19"/>
      <c r="H12" s="83" t="s">
        <v>20</v>
      </c>
      <c r="I12" s="83"/>
      <c r="J12" s="19"/>
      <c r="K12" s="19"/>
    </row>
    <row r="13" spans="1:13" ht="15.75" customHeight="1" thickBot="1" x14ac:dyDescent="0.25">
      <c r="A13" s="3" t="s">
        <v>174</v>
      </c>
      <c r="G13" s="3"/>
    </row>
    <row r="14" spans="1:13" ht="15" customHeight="1" thickBot="1" x14ac:dyDescent="0.25">
      <c r="A14" s="1" t="s">
        <v>237</v>
      </c>
      <c r="E14" s="146">
        <v>57</v>
      </c>
      <c r="F14" s="1" t="s">
        <v>163</v>
      </c>
      <c r="H14" s="338">
        <f xml:space="preserve"> (-0.018*$E14 + 311.6/$E14 + 3.92*EXP(-0.0069*$E14)- 0.31)    +    ((4.35/($E16^0.34)) -  (4.35/($E15^0.34)))    +    ((EXP(-0.237*LN($E16)+2.631))-((EXP(-0.237*LN($E15)+2.286))))</f>
        <v>9.331025338149022</v>
      </c>
      <c r="I14" s="339"/>
      <c r="J14" s="6" t="s">
        <v>167</v>
      </c>
      <c r="M14" s="10"/>
    </row>
    <row r="15" spans="1:13" ht="15" customHeight="1" x14ac:dyDescent="0.2">
      <c r="A15" s="1" t="s">
        <v>164</v>
      </c>
      <c r="E15" s="147">
        <v>0.27</v>
      </c>
      <c r="F15" s="1" t="s">
        <v>165</v>
      </c>
      <c r="H15" s="14"/>
      <c r="I15" s="14"/>
      <c r="J15" s="6"/>
    </row>
    <row r="16" spans="1:13" ht="15" customHeight="1" thickBot="1" x14ac:dyDescent="0.25">
      <c r="A16" s="1" t="s">
        <v>185</v>
      </c>
      <c r="E16" s="153">
        <v>0.43</v>
      </c>
      <c r="F16" s="1" t="s">
        <v>165</v>
      </c>
      <c r="H16" s="14"/>
      <c r="I16" s="14"/>
      <c r="J16" s="6"/>
    </row>
    <row r="17" spans="1:12" ht="15" customHeight="1" x14ac:dyDescent="0.2">
      <c r="E17" s="113"/>
    </row>
    <row r="18" spans="1:12" ht="15.75" customHeight="1" x14ac:dyDescent="0.2">
      <c r="A18" s="3" t="s">
        <v>168</v>
      </c>
      <c r="E18" s="113"/>
      <c r="G18" s="15"/>
      <c r="H18" s="15"/>
      <c r="I18" s="15"/>
      <c r="J18" s="15"/>
      <c r="K18" s="15"/>
    </row>
    <row r="19" spans="1:12" ht="15" customHeight="1" thickBot="1" x14ac:dyDescent="0.25">
      <c r="E19" s="73"/>
      <c r="G19" s="24"/>
      <c r="H19" s="24"/>
      <c r="I19" s="24"/>
      <c r="J19" s="24"/>
      <c r="K19" s="23"/>
    </row>
    <row r="20" spans="1:12" ht="15" customHeight="1" thickBot="1" x14ac:dyDescent="0.25">
      <c r="A20" s="1" t="s">
        <v>169</v>
      </c>
      <c r="E20" s="154"/>
      <c r="F20" s="1" t="s">
        <v>212</v>
      </c>
      <c r="G20" s="52"/>
      <c r="H20" s="340">
        <f>-H14*E20</f>
        <v>0</v>
      </c>
      <c r="I20" s="341"/>
      <c r="J20" s="52" t="s">
        <v>167</v>
      </c>
      <c r="K20" s="23"/>
    </row>
    <row r="21" spans="1:12" ht="15" customHeight="1" x14ac:dyDescent="0.2">
      <c r="E21" s="113"/>
      <c r="F21" s="4"/>
      <c r="J21" s="4"/>
      <c r="K21" s="4"/>
    </row>
    <row r="22" spans="1:12" ht="15.75" customHeight="1" x14ac:dyDescent="0.2">
      <c r="A22" s="3" t="s">
        <v>170</v>
      </c>
      <c r="E22" s="113"/>
      <c r="F22" s="4"/>
      <c r="J22" s="4"/>
      <c r="K22" s="4"/>
    </row>
    <row r="23" spans="1:12" s="57" customFormat="1" ht="15" customHeight="1" x14ac:dyDescent="0.2">
      <c r="E23" s="12"/>
      <c r="F23" s="58"/>
      <c r="J23" s="58"/>
      <c r="K23" s="58"/>
      <c r="L23" s="231"/>
    </row>
    <row r="24" spans="1:12" ht="15" customHeight="1" thickBot="1" x14ac:dyDescent="0.25">
      <c r="A24" s="56" t="s">
        <v>171</v>
      </c>
      <c r="B24" s="8"/>
      <c r="C24" s="8"/>
      <c r="D24" s="8"/>
      <c r="E24" s="114"/>
      <c r="G24" s="55"/>
      <c r="H24" s="55"/>
      <c r="I24" s="55"/>
      <c r="J24" s="16"/>
    </row>
    <row r="25" spans="1:12" ht="15" customHeight="1" thickBot="1" x14ac:dyDescent="0.25">
      <c r="A25" s="5" t="s">
        <v>15</v>
      </c>
      <c r="B25" s="8"/>
      <c r="C25" s="8"/>
      <c r="D25" s="8"/>
      <c r="E25" s="149"/>
      <c r="F25" s="1" t="s">
        <v>16</v>
      </c>
      <c r="G25" s="54"/>
      <c r="H25" s="342">
        <f>IF(E25=0,0,10000*E25^-1*108.9/1000/E14)</f>
        <v>0</v>
      </c>
      <c r="I25" s="343"/>
      <c r="J25" s="16" t="s">
        <v>167</v>
      </c>
    </row>
    <row r="26" spans="1:12" ht="15" customHeight="1" x14ac:dyDescent="0.2">
      <c r="A26" s="5"/>
      <c r="B26" s="8"/>
      <c r="C26" s="8"/>
      <c r="D26" s="8"/>
      <c r="E26" s="115"/>
      <c r="G26" s="16"/>
      <c r="H26" s="15"/>
      <c r="I26" s="15"/>
      <c r="J26" s="16"/>
    </row>
    <row r="27" spans="1:12" ht="15" customHeight="1" thickBot="1" x14ac:dyDescent="0.25">
      <c r="A27" s="56" t="s">
        <v>173</v>
      </c>
      <c r="B27" s="8"/>
      <c r="C27" s="8"/>
      <c r="D27" s="8"/>
      <c r="E27" s="114"/>
    </row>
    <row r="28" spans="1:12" ht="15" thickBot="1" x14ac:dyDescent="0.25">
      <c r="A28" s="5" t="s">
        <v>172</v>
      </c>
      <c r="B28" s="8"/>
      <c r="C28" s="8"/>
      <c r="D28" s="8"/>
      <c r="E28" s="116"/>
      <c r="F28" s="150" t="s">
        <v>212</v>
      </c>
      <c r="G28" s="59"/>
      <c r="H28" s="334">
        <f>(H14+H20+H25)*E28</f>
        <v>0</v>
      </c>
      <c r="I28" s="335"/>
      <c r="J28" s="5" t="s">
        <v>167</v>
      </c>
    </row>
    <row r="29" spans="1:12" ht="13.5" thickBot="1" x14ac:dyDescent="0.25">
      <c r="A29" s="5"/>
      <c r="B29" s="8"/>
      <c r="C29" s="8"/>
      <c r="D29" s="8"/>
      <c r="E29" s="170"/>
      <c r="F29" s="92"/>
      <c r="G29" s="59"/>
      <c r="H29" s="79"/>
      <c r="I29" s="79"/>
      <c r="J29" s="5"/>
    </row>
    <row r="30" spans="1:12" ht="15" thickBot="1" x14ac:dyDescent="0.25">
      <c r="A30" s="5"/>
      <c r="B30" s="8"/>
      <c r="C30" s="8"/>
      <c r="D30" s="8"/>
      <c r="E30" s="170"/>
      <c r="G30" s="277" t="s">
        <v>178</v>
      </c>
      <c r="H30" s="334">
        <f>(H14+H20+H25+H28)</f>
        <v>9.331025338149022</v>
      </c>
      <c r="I30" s="335"/>
      <c r="J30" s="5" t="s">
        <v>167</v>
      </c>
    </row>
    <row r="31" spans="1:12" ht="13.5" thickBot="1" x14ac:dyDescent="0.25">
      <c r="A31" s="5"/>
      <c r="B31" s="8"/>
      <c r="C31" s="8"/>
      <c r="D31" s="8"/>
      <c r="E31" s="170"/>
      <c r="G31" s="278" t="s">
        <v>178</v>
      </c>
      <c r="H31" s="334">
        <f>H30*E14</f>
        <v>531.86844427449421</v>
      </c>
      <c r="I31" s="335"/>
      <c r="J31" s="5" t="s">
        <v>9</v>
      </c>
    </row>
    <row r="32" spans="1:12" ht="15" customHeight="1" x14ac:dyDescent="0.2">
      <c r="A32" s="5"/>
      <c r="B32" s="8"/>
      <c r="C32" s="8"/>
      <c r="D32" s="8"/>
      <c r="E32" s="114"/>
      <c r="H32" s="21"/>
      <c r="I32" s="21"/>
    </row>
    <row r="33" spans="1:16" ht="22.5" customHeight="1" x14ac:dyDescent="0.2">
      <c r="A33" s="65" t="s">
        <v>176</v>
      </c>
      <c r="B33" s="66"/>
      <c r="C33" s="66"/>
      <c r="D33" s="66"/>
      <c r="E33" s="171"/>
      <c r="F33" s="164"/>
      <c r="G33" s="68"/>
      <c r="H33" s="77"/>
      <c r="I33" s="77"/>
      <c r="J33" s="68"/>
      <c r="K33" s="68"/>
    </row>
    <row r="34" spans="1:16" ht="15" customHeight="1" x14ac:dyDescent="0.2">
      <c r="A34" s="5"/>
      <c r="B34" s="8"/>
      <c r="C34" s="8"/>
      <c r="D34" s="8"/>
      <c r="E34" s="172" t="s">
        <v>162</v>
      </c>
      <c r="F34" s="15"/>
      <c r="G34" s="19"/>
      <c r="H34" s="83" t="s">
        <v>20</v>
      </c>
      <c r="I34" s="83"/>
    </row>
    <row r="35" spans="1:16" ht="15.75" customHeight="1" thickBot="1" x14ac:dyDescent="0.25">
      <c r="A35" s="3" t="s">
        <v>186</v>
      </c>
      <c r="E35" s="129"/>
      <c r="H35" s="20"/>
      <c r="I35" s="20"/>
    </row>
    <row r="36" spans="1:16" ht="15" customHeight="1" thickBot="1" x14ac:dyDescent="0.25">
      <c r="A36" s="5" t="s">
        <v>17</v>
      </c>
      <c r="B36" s="8"/>
      <c r="C36" s="8"/>
      <c r="D36" s="8"/>
      <c r="E36" s="130"/>
      <c r="F36" s="1" t="s">
        <v>9</v>
      </c>
      <c r="H36" s="336">
        <f>SUM(E36:E39)</f>
        <v>0</v>
      </c>
      <c r="I36" s="337"/>
      <c r="J36" s="19" t="s">
        <v>9</v>
      </c>
      <c r="K36" s="19"/>
    </row>
    <row r="37" spans="1:16" ht="15" customHeight="1" x14ac:dyDescent="0.2">
      <c r="A37" s="5" t="s">
        <v>153</v>
      </c>
      <c r="B37" s="8"/>
      <c r="C37" s="8"/>
      <c r="D37" s="8"/>
      <c r="E37" s="131"/>
      <c r="F37" s="1" t="s">
        <v>9</v>
      </c>
      <c r="H37" s="61"/>
      <c r="I37" s="61"/>
      <c r="J37" s="19"/>
      <c r="K37" s="19"/>
    </row>
    <row r="38" spans="1:16" ht="15" customHeight="1" x14ac:dyDescent="0.2">
      <c r="A38" s="5" t="s">
        <v>18</v>
      </c>
      <c r="B38" s="8"/>
      <c r="C38" s="8"/>
      <c r="D38" s="8"/>
      <c r="E38" s="132"/>
      <c r="F38" s="1" t="s">
        <v>9</v>
      </c>
      <c r="H38" s="61"/>
      <c r="I38" s="61"/>
      <c r="J38" s="19"/>
      <c r="K38" s="19"/>
      <c r="P38" s="90"/>
    </row>
    <row r="39" spans="1:16" ht="15" customHeight="1" thickBot="1" x14ac:dyDescent="0.25">
      <c r="A39" s="5" t="s">
        <v>19</v>
      </c>
      <c r="B39" s="8"/>
      <c r="C39" s="8"/>
      <c r="D39" s="8"/>
      <c r="E39" s="133"/>
      <c r="F39" s="1" t="s">
        <v>9</v>
      </c>
      <c r="H39" s="61"/>
      <c r="I39" s="61"/>
    </row>
    <row r="40" spans="1:16" ht="15" customHeight="1" x14ac:dyDescent="0.2">
      <c r="A40" s="5"/>
      <c r="B40" s="8"/>
      <c r="C40" s="8"/>
      <c r="D40" s="8"/>
      <c r="E40" s="134"/>
    </row>
    <row r="41" spans="1:16" ht="15.75" customHeight="1" x14ac:dyDescent="0.2">
      <c r="A41" s="3" t="s">
        <v>170</v>
      </c>
      <c r="B41" s="8"/>
      <c r="C41" s="8"/>
      <c r="D41" s="8"/>
      <c r="E41" s="135"/>
      <c r="F41" s="9"/>
    </row>
    <row r="42" spans="1:16" ht="15" customHeight="1" x14ac:dyDescent="0.2">
      <c r="A42" s="5"/>
      <c r="B42" s="8"/>
      <c r="C42" s="8"/>
      <c r="D42" s="8"/>
      <c r="E42" s="135"/>
    </row>
    <row r="43" spans="1:16" ht="15" customHeight="1" thickBot="1" x14ac:dyDescent="0.25">
      <c r="A43" s="64" t="s">
        <v>177</v>
      </c>
      <c r="B43" s="8"/>
      <c r="C43" s="8"/>
      <c r="D43" s="8"/>
      <c r="E43" s="135"/>
    </row>
    <row r="44" spans="1:16" ht="15" customHeight="1" thickBot="1" x14ac:dyDescent="0.25">
      <c r="A44" s="5" t="s">
        <v>172</v>
      </c>
      <c r="B44" s="8"/>
      <c r="C44" s="8"/>
      <c r="D44" s="8"/>
      <c r="E44" s="116"/>
      <c r="F44" s="151" t="s">
        <v>212</v>
      </c>
      <c r="G44" s="59"/>
      <c r="H44" s="334">
        <f>H36*E44</f>
        <v>0</v>
      </c>
      <c r="I44" s="335"/>
      <c r="J44" s="5" t="s">
        <v>9</v>
      </c>
    </row>
    <row r="45" spans="1:16" ht="15" customHeight="1" x14ac:dyDescent="0.2">
      <c r="A45" s="5"/>
      <c r="B45" s="8"/>
      <c r="C45" s="8"/>
      <c r="D45" s="8"/>
      <c r="E45" s="4"/>
      <c r="G45" s="5"/>
      <c r="H45" s="5"/>
      <c r="I45" s="5"/>
    </row>
    <row r="46" spans="1:16" ht="22.5" customHeight="1" x14ac:dyDescent="0.2">
      <c r="A46" s="65" t="s">
        <v>269</v>
      </c>
      <c r="B46" s="66"/>
      <c r="C46" s="66"/>
      <c r="D46" s="66"/>
      <c r="E46" s="67"/>
      <c r="F46" s="68"/>
      <c r="G46" s="69"/>
      <c r="H46" s="78"/>
      <c r="I46" s="78"/>
      <c r="J46" s="68"/>
      <c r="K46" s="68"/>
    </row>
    <row r="47" spans="1:16" ht="13.5" thickBot="1" x14ac:dyDescent="0.25">
      <c r="B47" s="4"/>
      <c r="C47" s="4"/>
      <c r="D47" s="4"/>
      <c r="E47" s="4"/>
      <c r="G47" s="5"/>
      <c r="H47" s="5"/>
      <c r="I47" s="5"/>
    </row>
    <row r="48" spans="1:16" ht="12.75" customHeight="1" x14ac:dyDescent="0.2">
      <c r="A48" s="319" t="s">
        <v>181</v>
      </c>
      <c r="B48" s="324" t="s">
        <v>183</v>
      </c>
      <c r="C48" s="325"/>
      <c r="D48" s="313" t="s">
        <v>263</v>
      </c>
      <c r="E48" s="315" t="s">
        <v>264</v>
      </c>
    </row>
    <row r="49" spans="1:12" x14ac:dyDescent="0.2">
      <c r="A49" s="320"/>
      <c r="B49" s="326"/>
      <c r="C49" s="327"/>
      <c r="D49" s="314"/>
      <c r="E49" s="316"/>
    </row>
    <row r="50" spans="1:12" x14ac:dyDescent="0.2">
      <c r="A50" s="321"/>
      <c r="B50" s="328"/>
      <c r="C50" s="329"/>
      <c r="D50" s="314"/>
      <c r="E50" s="316"/>
    </row>
    <row r="51" spans="1:12" x14ac:dyDescent="0.2">
      <c r="A51" s="74" t="s">
        <v>4</v>
      </c>
      <c r="B51" s="330"/>
      <c r="C51" s="331"/>
      <c r="D51" s="272">
        <f>$H$31*(1+0)</f>
        <v>531.86844427449421</v>
      </c>
      <c r="E51" s="273">
        <f>D51-$H$31</f>
        <v>0</v>
      </c>
    </row>
    <row r="52" spans="1:12" x14ac:dyDescent="0.2">
      <c r="A52" s="74" t="s">
        <v>5</v>
      </c>
      <c r="B52" s="330"/>
      <c r="C52" s="331"/>
      <c r="D52" s="272">
        <f>$H$31*(1+0)</f>
        <v>531.86844427449421</v>
      </c>
      <c r="E52" s="273">
        <f>D52-$H$31</f>
        <v>0</v>
      </c>
    </row>
    <row r="53" spans="1:12" x14ac:dyDescent="0.2">
      <c r="A53" s="74" t="s">
        <v>6</v>
      </c>
      <c r="B53" s="330"/>
      <c r="C53" s="331"/>
      <c r="D53" s="272">
        <f>$H$31*(1+0.007)</f>
        <v>535.59152338441561</v>
      </c>
      <c r="E53" s="273">
        <f>D53-$H$31</f>
        <v>3.7230791099214002</v>
      </c>
    </row>
    <row r="54" spans="1:12" x14ac:dyDescent="0.2">
      <c r="A54" s="74" t="s">
        <v>7</v>
      </c>
      <c r="B54" s="330"/>
      <c r="C54" s="331"/>
      <c r="D54" s="272">
        <f>$H$31*(1+0.026)</f>
        <v>545.69702382563105</v>
      </c>
      <c r="E54" s="273">
        <f>D54-$H$31</f>
        <v>13.828579551136841</v>
      </c>
    </row>
    <row r="55" spans="1:12" x14ac:dyDescent="0.2">
      <c r="A55" s="74" t="s">
        <v>8</v>
      </c>
      <c r="B55" s="332"/>
      <c r="C55" s="333"/>
      <c r="D55" s="272">
        <f>$H$31*(1+0.061)</f>
        <v>564.31241937523828</v>
      </c>
      <c r="E55" s="273">
        <f>D55-$H$31</f>
        <v>32.443975100744069</v>
      </c>
      <c r="F55" s="169"/>
      <c r="G55" s="169"/>
    </row>
    <row r="56" spans="1:12" ht="13.5" thickBot="1" x14ac:dyDescent="0.25">
      <c r="A56" s="75" t="s">
        <v>182</v>
      </c>
      <c r="B56" s="322">
        <f>SUM(B51:B55)</f>
        <v>0</v>
      </c>
      <c r="C56" s="323"/>
      <c r="D56" s="274"/>
      <c r="E56" s="275">
        <f>IF(B56=0,0,SUMPRODUCT(E51:E55,B51:B55)/B56)</f>
        <v>0</v>
      </c>
      <c r="F56" s="169" t="s">
        <v>277</v>
      </c>
      <c r="G56" s="169"/>
    </row>
    <row r="57" spans="1:12" x14ac:dyDescent="0.2">
      <c r="A57" s="16"/>
      <c r="B57" s="16"/>
      <c r="C57" s="16"/>
      <c r="D57" s="16"/>
      <c r="E57" s="72"/>
      <c r="F57" s="16"/>
    </row>
    <row r="58" spans="1:12" s="7" customFormat="1" ht="22.5" customHeight="1" x14ac:dyDescent="0.2">
      <c r="A58" s="84" t="s">
        <v>3</v>
      </c>
      <c r="B58" s="85"/>
      <c r="C58" s="85"/>
      <c r="D58" s="85"/>
      <c r="E58" s="86"/>
      <c r="F58" s="85"/>
      <c r="G58" s="87"/>
      <c r="H58" s="87"/>
      <c r="I58" s="87"/>
      <c r="J58" s="87"/>
      <c r="K58" s="87"/>
      <c r="L58" s="124"/>
    </row>
    <row r="59" spans="1:12" ht="13.5" thickBot="1" x14ac:dyDescent="0.25">
      <c r="A59" s="16"/>
      <c r="B59" s="16"/>
      <c r="C59" s="16"/>
      <c r="D59" s="16"/>
      <c r="E59" s="72"/>
      <c r="F59" s="16"/>
    </row>
    <row r="60" spans="1:12" x14ac:dyDescent="0.2">
      <c r="A60" s="5" t="s">
        <v>175</v>
      </c>
      <c r="E60" s="99">
        <f>(H14+H20)*E14</f>
        <v>531.86844427449421</v>
      </c>
      <c r="F60" s="1" t="s">
        <v>9</v>
      </c>
      <c r="G60" s="14"/>
      <c r="H60" s="71"/>
      <c r="I60" s="71"/>
    </row>
    <row r="61" spans="1:12" x14ac:dyDescent="0.2">
      <c r="A61" s="5" t="s">
        <v>231</v>
      </c>
      <c r="E61" s="161">
        <f>(H25+H28)*E14+E56</f>
        <v>0</v>
      </c>
      <c r="F61" s="1" t="s">
        <v>9</v>
      </c>
      <c r="G61" s="14"/>
      <c r="H61" s="71"/>
      <c r="I61" s="71"/>
    </row>
    <row r="62" spans="1:12" x14ac:dyDescent="0.2">
      <c r="A62" s="5" t="s">
        <v>176</v>
      </c>
      <c r="E62" s="100">
        <f>H36</f>
        <v>0</v>
      </c>
      <c r="F62" s="1" t="s">
        <v>9</v>
      </c>
      <c r="G62" s="14"/>
      <c r="H62" s="71"/>
      <c r="I62" s="71"/>
    </row>
    <row r="63" spans="1:12" x14ac:dyDescent="0.2">
      <c r="A63" s="5" t="s">
        <v>232</v>
      </c>
      <c r="E63" s="162">
        <f>H44</f>
        <v>0</v>
      </c>
      <c r="F63" s="1" t="s">
        <v>9</v>
      </c>
      <c r="G63" s="14"/>
      <c r="H63" s="71"/>
      <c r="I63" s="71"/>
    </row>
    <row r="64" spans="1:12" ht="13.5" thickBot="1" x14ac:dyDescent="0.25">
      <c r="A64" s="64" t="s">
        <v>3</v>
      </c>
      <c r="E64" s="101">
        <f>SUM(E60:E63)</f>
        <v>531.86844427449421</v>
      </c>
      <c r="F64" s="56" t="s">
        <v>9</v>
      </c>
      <c r="G64" s="14"/>
      <c r="H64" s="71"/>
      <c r="I64" s="71"/>
    </row>
    <row r="65" spans="1:10" ht="13.5" thickBot="1" x14ac:dyDescent="0.25">
      <c r="A65" s="5"/>
      <c r="E65" s="5"/>
      <c r="G65" s="14"/>
      <c r="H65" s="71"/>
      <c r="I65" s="71"/>
    </row>
    <row r="66" spans="1:10" x14ac:dyDescent="0.2">
      <c r="A66" s="80" t="s">
        <v>270</v>
      </c>
      <c r="E66" s="99">
        <f>B56</f>
        <v>0</v>
      </c>
      <c r="F66" s="1" t="s">
        <v>10</v>
      </c>
      <c r="G66" s="14"/>
      <c r="H66" s="71"/>
      <c r="I66" s="71"/>
    </row>
    <row r="67" spans="1:10" x14ac:dyDescent="0.2">
      <c r="A67" s="51" t="s">
        <v>71</v>
      </c>
      <c r="E67" s="155">
        <v>0.9</v>
      </c>
      <c r="F67" s="151" t="s">
        <v>212</v>
      </c>
      <c r="G67" s="14"/>
      <c r="H67" s="71"/>
      <c r="I67" s="71"/>
    </row>
    <row r="68" spans="1:10" x14ac:dyDescent="0.2">
      <c r="A68" s="5" t="s">
        <v>179</v>
      </c>
      <c r="E68" s="102">
        <f>(E60+E61)*E66*E67</f>
        <v>0</v>
      </c>
      <c r="F68" s="1" t="s">
        <v>11</v>
      </c>
      <c r="G68" s="14"/>
      <c r="H68" s="5"/>
      <c r="I68" s="5"/>
    </row>
    <row r="69" spans="1:10" x14ac:dyDescent="0.2">
      <c r="A69" s="13" t="s">
        <v>180</v>
      </c>
      <c r="E69" s="102">
        <f>(E62+E63)*E66*E67</f>
        <v>0</v>
      </c>
      <c r="F69" s="1" t="s">
        <v>11</v>
      </c>
      <c r="G69" s="14"/>
      <c r="H69" s="5"/>
      <c r="I69" s="5"/>
    </row>
    <row r="70" spans="1:10" ht="13.5" thickBot="1" x14ac:dyDescent="0.25">
      <c r="A70" s="64" t="s">
        <v>152</v>
      </c>
      <c r="E70" s="103">
        <f>E64*E66*E67</f>
        <v>0</v>
      </c>
      <c r="F70" s="7" t="s">
        <v>11</v>
      </c>
      <c r="G70" s="14"/>
      <c r="H70" s="5"/>
      <c r="I70" s="5"/>
    </row>
    <row r="71" spans="1:10" x14ac:dyDescent="0.2">
      <c r="G71" s="14"/>
      <c r="H71" s="5"/>
      <c r="I71" s="5"/>
    </row>
    <row r="72" spans="1:10" x14ac:dyDescent="0.2">
      <c r="A72" s="280" t="s">
        <v>24</v>
      </c>
      <c r="B72" s="280"/>
      <c r="C72" s="280"/>
      <c r="D72" s="280"/>
      <c r="E72" s="280"/>
      <c r="G72" s="14"/>
      <c r="H72" s="5"/>
      <c r="I72" s="5"/>
    </row>
    <row r="73" spans="1:10" x14ac:dyDescent="0.2">
      <c r="A73" s="280"/>
      <c r="B73" s="280"/>
      <c r="C73" s="280"/>
      <c r="D73" s="280"/>
      <c r="E73" s="280"/>
      <c r="G73" s="14"/>
      <c r="H73" s="5"/>
      <c r="I73" s="5"/>
    </row>
    <row r="74" spans="1:10" x14ac:dyDescent="0.2">
      <c r="A74" s="280"/>
      <c r="B74" s="280"/>
      <c r="C74" s="280"/>
      <c r="D74" s="280"/>
      <c r="E74" s="280"/>
      <c r="G74" s="14"/>
      <c r="H74" s="5"/>
      <c r="I74" s="5"/>
    </row>
    <row r="75" spans="1:10" ht="25.5" customHeight="1" x14ac:dyDescent="0.2">
      <c r="A75" s="280"/>
      <c r="B75" s="280"/>
      <c r="C75" s="280"/>
      <c r="D75" s="280"/>
      <c r="E75" s="280"/>
      <c r="F75" s="157"/>
      <c r="G75" s="157"/>
      <c r="H75" s="157"/>
      <c r="I75" s="157"/>
      <c r="J75" s="157"/>
    </row>
    <row r="76" spans="1:10" ht="18.75" customHeight="1" x14ac:dyDescent="0.2">
      <c r="A76" s="282"/>
      <c r="B76" s="282"/>
      <c r="C76" s="282"/>
      <c r="D76" s="282"/>
      <c r="E76" s="282"/>
    </row>
    <row r="77" spans="1:10" x14ac:dyDescent="0.2">
      <c r="A77" s="1" t="s">
        <v>0</v>
      </c>
      <c r="E77" s="10" t="s">
        <v>2</v>
      </c>
    </row>
    <row r="78" spans="1:10" ht="18.75" customHeight="1" x14ac:dyDescent="0.2">
      <c r="A78" s="11"/>
      <c r="B78" s="11"/>
      <c r="C78" s="11"/>
      <c r="D78" s="11"/>
      <c r="E78" s="11"/>
    </row>
    <row r="79" spans="1:10" x14ac:dyDescent="0.2">
      <c r="A79" s="1" t="s">
        <v>1</v>
      </c>
      <c r="J79" s="12"/>
    </row>
    <row r="80" spans="1:10" x14ac:dyDescent="0.2">
      <c r="J80" s="57" t="s">
        <v>288</v>
      </c>
    </row>
  </sheetData>
  <sheetProtection algorithmName="SHA-512" hashValue="a9q+UhZhilXI/6TgUSzJHZwn4bjVnM7mdyzw1mUMO3j1RVcRLJADmFRpLN2LyBJDYGaiZKwudQeOpLgWZH5h5g==" saltValue="FUxG6uSJImLaNpkHx43pNA==" spinCount="100000" sheet="1" objects="1" scenarios="1"/>
  <mergeCells count="28">
    <mergeCell ref="A76:E76"/>
    <mergeCell ref="D48:D50"/>
    <mergeCell ref="E48:E50"/>
    <mergeCell ref="A72:E75"/>
    <mergeCell ref="E2:K2"/>
    <mergeCell ref="E7:F7"/>
    <mergeCell ref="J4:K4"/>
    <mergeCell ref="A48:A50"/>
    <mergeCell ref="E9:F9"/>
    <mergeCell ref="A4:B4"/>
    <mergeCell ref="B51:C51"/>
    <mergeCell ref="E8:F8"/>
    <mergeCell ref="D4:H4"/>
    <mergeCell ref="H14:I14"/>
    <mergeCell ref="H20:I20"/>
    <mergeCell ref="H25:I25"/>
    <mergeCell ref="H28:I28"/>
    <mergeCell ref="H30:I30"/>
    <mergeCell ref="H31:I31"/>
    <mergeCell ref="H36:I36"/>
    <mergeCell ref="H44:I44"/>
    <mergeCell ref="E6:F6"/>
    <mergeCell ref="B56:C56"/>
    <mergeCell ref="B48:C50"/>
    <mergeCell ref="B52:C52"/>
    <mergeCell ref="B53:C53"/>
    <mergeCell ref="B54:C54"/>
    <mergeCell ref="B55:C55"/>
  </mergeCells>
  <phoneticPr fontId="8" type="noConversion"/>
  <dataValidations count="9">
    <dataValidation type="decimal" allowBlank="1" showInputMessage="1" showErrorMessage="1" errorTitle="Valeur autorisée" error="La valeur saisie doit être comprise entre 0 et 3,2%" sqref="E28">
      <formula1>0</formula1>
      <formula2>0.032</formula2>
    </dataValidation>
    <dataValidation type="decimal" allowBlank="1" showInputMessage="1" showErrorMessage="1" errorTitle="Valeur autorisée" error="La valeur saisie doit être comprise entre 0 et 1,2%" sqref="E44">
      <formula1>0</formula1>
      <formula2>0.012</formula2>
    </dataValidation>
    <dataValidation type="list" allowBlank="1" showInputMessage="1" showErrorMessage="1" sqref="E67">
      <formula1>Investissement</formula1>
    </dataValidation>
    <dataValidation type="list" allowBlank="1" showInputMessage="1" showErrorMessage="1" sqref="E36">
      <formula1>Sup</formula1>
    </dataValidation>
    <dataValidation type="list" allowBlank="1" showInputMessage="1" showErrorMessage="1" sqref="E37">
      <formula1>Qualite</formula1>
    </dataValidation>
    <dataValidation type="list" allowBlank="1" showInputMessage="1" showErrorMessage="1" sqref="E38">
      <formula1>InvAT</formula1>
    </dataValidation>
    <dataValidation type="list" allowBlank="1" showInputMessage="1" showErrorMessage="1" sqref="E39">
      <formula1>Rapport</formula1>
    </dataValidation>
    <dataValidation type="decimal" operator="greaterThan" allowBlank="1" showInputMessage="1" showErrorMessage="1" errorTitle="Valeur autorisée" error="Vous devez saisir une valeur positive" sqref="E20">
      <formula1>0</formula1>
    </dataValidation>
    <dataValidation type="decimal" operator="greaterThanOrEqual" allowBlank="1" showInputMessage="1" showErrorMessage="1" errorTitle="Valeur autorisée" error="La valeur saisie doit être supérieure à 15 m_x000a__x000a_Laissez la cellule vide si non applicable" sqref="E25">
      <formula1>15</formula1>
    </dataValidation>
  </dataValidations>
  <printOptions horizontalCentered="1"/>
  <pageMargins left="0" right="0" top="0" bottom="0" header="0.51181102362204722" footer="0.51181102362204722"/>
  <pageSetup paperSize="5" scale="77" orientation="portrait" r:id="rId1"/>
  <headerFooter alignWithMargins="0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N86"/>
  <sheetViews>
    <sheetView showGridLines="0" zoomScaleNormal="100" workbookViewId="0">
      <selection activeCell="G14" sqref="G14"/>
    </sheetView>
  </sheetViews>
  <sheetFormatPr baseColWidth="10" defaultColWidth="11.42578125" defaultRowHeight="12.75" x14ac:dyDescent="0.2"/>
  <cols>
    <col min="1" max="1" width="11.42578125" style="1"/>
    <col min="2" max="2" width="13.28515625" style="1" customWidth="1"/>
    <col min="3" max="3" width="12.5703125" style="1" customWidth="1"/>
    <col min="4" max="4" width="11.42578125" style="1"/>
    <col min="5" max="5" width="8.28515625" style="1" customWidth="1"/>
    <col min="6" max="6" width="39.140625" style="1" customWidth="1"/>
    <col min="7" max="7" width="11.42578125" style="1" customWidth="1"/>
    <col min="8" max="8" width="14.42578125" style="1" customWidth="1"/>
    <col min="9" max="9" width="6.5703125" style="1" customWidth="1"/>
    <col min="10" max="10" width="1.85546875" style="19" customWidth="1"/>
    <col min="11" max="16384" width="11.42578125" style="1"/>
  </cols>
  <sheetData>
    <row r="1" spans="1:11" s="2" customFormat="1" ht="14.25" customHeight="1" x14ac:dyDescent="0.2">
      <c r="A1" s="22"/>
      <c r="B1" s="22"/>
      <c r="C1" s="22"/>
      <c r="D1" s="22"/>
      <c r="E1" s="22"/>
      <c r="F1" s="22"/>
      <c r="G1" s="22"/>
      <c r="J1" s="271"/>
    </row>
    <row r="2" spans="1:11" s="2" customFormat="1" ht="87.75" customHeight="1" x14ac:dyDescent="0.2">
      <c r="A2" s="22"/>
      <c r="B2" s="22"/>
      <c r="C2" s="22"/>
      <c r="D2" s="310" t="s">
        <v>271</v>
      </c>
      <c r="E2" s="310"/>
      <c r="F2" s="310"/>
      <c r="G2" s="310"/>
      <c r="H2" s="310"/>
      <c r="I2" s="310"/>
      <c r="J2" s="163"/>
    </row>
    <row r="4" spans="1:11" s="2" customFormat="1" ht="46.5" customHeight="1" x14ac:dyDescent="0.2">
      <c r="A4" s="312" t="s">
        <v>278</v>
      </c>
      <c r="B4" s="312"/>
      <c r="C4" s="17"/>
      <c r="D4" s="312" t="s">
        <v>160</v>
      </c>
      <c r="E4" s="312"/>
      <c r="F4" s="312"/>
      <c r="G4" s="18"/>
      <c r="H4" s="312" t="s">
        <v>197</v>
      </c>
      <c r="I4" s="312"/>
      <c r="J4" s="271"/>
    </row>
    <row r="6" spans="1:11" x14ac:dyDescent="0.2">
      <c r="A6" s="1" t="s">
        <v>287</v>
      </c>
      <c r="D6" s="317"/>
      <c r="E6" s="318"/>
    </row>
    <row r="7" spans="1:11" x14ac:dyDescent="0.2">
      <c r="A7" s="1" t="s">
        <v>13</v>
      </c>
      <c r="D7" s="305"/>
      <c r="E7" s="305"/>
    </row>
    <row r="8" spans="1:11" x14ac:dyDescent="0.2">
      <c r="A8" s="1" t="s">
        <v>14</v>
      </c>
      <c r="D8" s="305"/>
      <c r="E8" s="305"/>
    </row>
    <row r="9" spans="1:11" x14ac:dyDescent="0.2">
      <c r="A9" s="1" t="s">
        <v>234</v>
      </c>
      <c r="D9" s="308"/>
      <c r="E9" s="309"/>
    </row>
    <row r="10" spans="1:11" x14ac:dyDescent="0.2">
      <c r="D10" s="15"/>
      <c r="E10" s="15"/>
    </row>
    <row r="11" spans="1:11" ht="22.5" customHeight="1" x14ac:dyDescent="0.2">
      <c r="A11" s="70" t="s">
        <v>175</v>
      </c>
      <c r="B11" s="68"/>
      <c r="C11" s="68"/>
      <c r="D11" s="68"/>
      <c r="E11" s="164"/>
      <c r="F11" s="68"/>
      <c r="G11" s="68"/>
      <c r="H11" s="68"/>
      <c r="I11" s="68"/>
    </row>
    <row r="12" spans="1:11" ht="15" customHeight="1" x14ac:dyDescent="0.2">
      <c r="A12" s="82"/>
      <c r="B12" s="19"/>
      <c r="C12" s="19"/>
      <c r="D12" s="165" t="s">
        <v>162</v>
      </c>
      <c r="E12" s="15"/>
      <c r="F12" s="19"/>
      <c r="G12" s="83" t="s">
        <v>20</v>
      </c>
      <c r="H12" s="19"/>
      <c r="I12" s="19"/>
    </row>
    <row r="13" spans="1:11" ht="15.75" customHeight="1" thickBot="1" x14ac:dyDescent="0.25">
      <c r="A13" s="3" t="s">
        <v>174</v>
      </c>
      <c r="F13" s="3"/>
    </row>
    <row r="14" spans="1:11" ht="15" customHeight="1" thickBot="1" x14ac:dyDescent="0.25">
      <c r="A14" s="1" t="s">
        <v>237</v>
      </c>
      <c r="D14" s="146">
        <v>57</v>
      </c>
      <c r="E14" s="1" t="s">
        <v>163</v>
      </c>
      <c r="G14" s="93">
        <f xml:space="preserve"> (-0.018*$D14 + 311.6/$D14 + 3.92*EXP(-0.0069*$D14)- 0.31)    +    ((4.35/($D16^0.34)) -  (4.35/($D15^0.34)))    + (EXP(2.558-0.237*LN(D16))) - EXP(2.286-0.237*LN(D15))</f>
        <v>8.1368604524839103</v>
      </c>
      <c r="H14" s="6" t="s">
        <v>167</v>
      </c>
      <c r="K14" s="10"/>
    </row>
    <row r="15" spans="1:11" ht="15" customHeight="1" x14ac:dyDescent="0.2">
      <c r="A15" s="1" t="s">
        <v>164</v>
      </c>
      <c r="D15" s="147">
        <v>0.27</v>
      </c>
      <c r="E15" s="1" t="s">
        <v>165</v>
      </c>
      <c r="G15" s="166"/>
      <c r="H15" s="6"/>
    </row>
    <row r="16" spans="1:11" ht="15" customHeight="1" thickBot="1" x14ac:dyDescent="0.25">
      <c r="A16" s="1" t="s">
        <v>185</v>
      </c>
      <c r="D16" s="153">
        <v>0.43</v>
      </c>
      <c r="E16" s="1" t="s">
        <v>165</v>
      </c>
      <c r="G16" s="14"/>
      <c r="H16" s="6"/>
    </row>
    <row r="17" spans="1:10" ht="15" customHeight="1" x14ac:dyDescent="0.2">
      <c r="D17" s="113"/>
    </row>
    <row r="18" spans="1:10" ht="15.75" customHeight="1" x14ac:dyDescent="0.2">
      <c r="A18" s="109" t="s">
        <v>168</v>
      </c>
      <c r="B18" s="19"/>
      <c r="C18" s="19"/>
      <c r="D18" s="129"/>
      <c r="E18" s="19"/>
      <c r="F18" s="15"/>
      <c r="G18" s="15"/>
      <c r="H18" s="15"/>
      <c r="I18" s="15"/>
    </row>
    <row r="19" spans="1:10" ht="15" customHeight="1" x14ac:dyDescent="0.2">
      <c r="D19" s="73"/>
      <c r="F19" s="24"/>
      <c r="G19" s="24"/>
      <c r="H19" s="24"/>
      <c r="I19" s="23"/>
    </row>
    <row r="20" spans="1:10" ht="15" customHeight="1" thickBot="1" x14ac:dyDescent="0.25">
      <c r="A20" s="56" t="s">
        <v>210</v>
      </c>
      <c r="D20" s="73"/>
      <c r="F20" s="24"/>
      <c r="G20" s="24"/>
      <c r="H20" s="24"/>
      <c r="I20" s="23"/>
    </row>
    <row r="21" spans="1:10" ht="15" customHeight="1" x14ac:dyDescent="0.2">
      <c r="A21" s="110" t="s">
        <v>158</v>
      </c>
      <c r="D21" s="136"/>
      <c r="E21" s="1" t="s">
        <v>16</v>
      </c>
      <c r="F21" s="24"/>
      <c r="G21" s="111">
        <f>IF(IF((D21+D22+D23=0),0,1-((((D21+D22)*2)*(D22/D21))/(D21+2*D22+D23)))&lt;0,0,IF((D21+D22+D23=0),0,1-((((D21+D22)*2)*(D22/D21))/(D21+2*D22+D23))))</f>
        <v>0</v>
      </c>
      <c r="H21" s="24"/>
      <c r="I21" s="23"/>
    </row>
    <row r="22" spans="1:10" ht="15" customHeight="1" thickBot="1" x14ac:dyDescent="0.25">
      <c r="A22" s="110" t="s">
        <v>211</v>
      </c>
      <c r="D22" s="137"/>
      <c r="E22" s="1" t="s">
        <v>16</v>
      </c>
      <c r="F22" s="24"/>
      <c r="G22" s="112">
        <f>-G14*G21</f>
        <v>0</v>
      </c>
      <c r="H22" s="52" t="s">
        <v>167</v>
      </c>
      <c r="I22" s="23"/>
    </row>
    <row r="23" spans="1:10" ht="15" customHeight="1" thickBot="1" x14ac:dyDescent="0.25">
      <c r="A23" s="110" t="s">
        <v>159</v>
      </c>
      <c r="D23" s="138"/>
      <c r="E23" s="1" t="s">
        <v>16</v>
      </c>
      <c r="F23" s="24"/>
      <c r="G23" s="24"/>
      <c r="H23" s="24"/>
      <c r="I23" s="23"/>
    </row>
    <row r="24" spans="1:10" ht="15" customHeight="1" x14ac:dyDescent="0.2">
      <c r="D24" s="73"/>
      <c r="F24" s="24"/>
      <c r="G24" s="24"/>
      <c r="H24" s="24"/>
      <c r="I24" s="23"/>
    </row>
    <row r="25" spans="1:10" ht="15" customHeight="1" thickBot="1" x14ac:dyDescent="0.25">
      <c r="A25" s="56" t="s">
        <v>209</v>
      </c>
      <c r="D25" s="73"/>
      <c r="F25" s="24"/>
      <c r="G25" s="24"/>
      <c r="H25" s="24"/>
      <c r="I25" s="23"/>
    </row>
    <row r="26" spans="1:10" ht="15" customHeight="1" thickBot="1" x14ac:dyDescent="0.25">
      <c r="A26" s="1" t="s">
        <v>169</v>
      </c>
      <c r="D26" s="156"/>
      <c r="E26" s="1" t="s">
        <v>212</v>
      </c>
      <c r="F26" s="52"/>
      <c r="G26" s="94">
        <f>-G14*D26</f>
        <v>0</v>
      </c>
      <c r="H26" s="52" t="s">
        <v>167</v>
      </c>
      <c r="I26" s="23"/>
    </row>
    <row r="27" spans="1:10" ht="15" customHeight="1" x14ac:dyDescent="0.2">
      <c r="D27" s="113"/>
      <c r="E27" s="4"/>
      <c r="H27" s="4"/>
      <c r="I27" s="4"/>
    </row>
    <row r="28" spans="1:10" ht="15.75" customHeight="1" x14ac:dyDescent="0.2">
      <c r="A28" s="3" t="s">
        <v>170</v>
      </c>
      <c r="D28" s="113"/>
      <c r="E28" s="4"/>
      <c r="H28" s="4"/>
      <c r="I28" s="4"/>
    </row>
    <row r="29" spans="1:10" s="57" customFormat="1" ht="15" customHeight="1" x14ac:dyDescent="0.2">
      <c r="D29" s="12"/>
      <c r="E29" s="58"/>
      <c r="H29" s="58"/>
      <c r="I29" s="58"/>
      <c r="J29" s="231"/>
    </row>
    <row r="30" spans="1:10" ht="15" customHeight="1" thickBot="1" x14ac:dyDescent="0.25">
      <c r="A30" s="56" t="s">
        <v>171</v>
      </c>
      <c r="B30" s="8"/>
      <c r="C30" s="8"/>
      <c r="D30" s="114"/>
      <c r="F30" s="55"/>
      <c r="G30" s="55"/>
      <c r="H30" s="16"/>
    </row>
    <row r="31" spans="1:10" ht="15" customHeight="1" thickBot="1" x14ac:dyDescent="0.25">
      <c r="A31" s="5" t="s">
        <v>15</v>
      </c>
      <c r="B31" s="8"/>
      <c r="C31" s="8"/>
      <c r="D31" s="149"/>
      <c r="E31" s="1" t="s">
        <v>16</v>
      </c>
      <c r="F31" s="54"/>
      <c r="G31" s="93">
        <f>IF(D31=0,0,10000*D31^-1*108.9/1000/D14)</f>
        <v>0</v>
      </c>
      <c r="H31" s="16" t="s">
        <v>167</v>
      </c>
    </row>
    <row r="32" spans="1:10" ht="15" customHeight="1" x14ac:dyDescent="0.2">
      <c r="A32" s="5"/>
      <c r="B32" s="8"/>
      <c r="C32" s="8"/>
      <c r="D32" s="115"/>
      <c r="F32" s="16"/>
      <c r="G32" s="15"/>
      <c r="H32" s="16"/>
    </row>
    <row r="33" spans="1:14" ht="15" customHeight="1" thickBot="1" x14ac:dyDescent="0.25">
      <c r="A33" s="56" t="s">
        <v>173</v>
      </c>
      <c r="B33" s="8"/>
      <c r="C33" s="8"/>
      <c r="D33" s="114"/>
    </row>
    <row r="34" spans="1:14" ht="15" thickBot="1" x14ac:dyDescent="0.25">
      <c r="A34" s="5" t="s">
        <v>172</v>
      </c>
      <c r="B34" s="8"/>
      <c r="C34" s="8"/>
      <c r="D34" s="116"/>
      <c r="E34" s="150" t="s">
        <v>212</v>
      </c>
      <c r="F34" s="59"/>
      <c r="G34" s="95">
        <f>(G14+G26+G31)*D34</f>
        <v>0</v>
      </c>
      <c r="H34" s="5" t="s">
        <v>167</v>
      </c>
    </row>
    <row r="35" spans="1:14" ht="13.5" thickBot="1" x14ac:dyDescent="0.25">
      <c r="A35" s="5"/>
      <c r="B35" s="8"/>
      <c r="C35" s="8"/>
      <c r="D35" s="170"/>
      <c r="E35" s="92"/>
      <c r="F35" s="59"/>
      <c r="G35" s="79"/>
      <c r="H35" s="5"/>
    </row>
    <row r="36" spans="1:14" ht="14.25" x14ac:dyDescent="0.2">
      <c r="A36" s="5"/>
      <c r="B36" s="8"/>
      <c r="C36" s="8"/>
      <c r="D36" s="170"/>
      <c r="F36" s="277" t="s">
        <v>178</v>
      </c>
      <c r="G36" s="96">
        <f>(G14+G26+G31+G34+G22)</f>
        <v>8.1368604524839103</v>
      </c>
      <c r="H36" s="5" t="s">
        <v>167</v>
      </c>
    </row>
    <row r="37" spans="1:14" ht="13.5" thickBot="1" x14ac:dyDescent="0.25">
      <c r="A37" s="5"/>
      <c r="B37" s="8"/>
      <c r="C37" s="8"/>
      <c r="D37" s="170"/>
      <c r="F37" s="278" t="s">
        <v>178</v>
      </c>
      <c r="G37" s="97">
        <f>G36*D14</f>
        <v>463.80104579158291</v>
      </c>
      <c r="H37" s="5" t="s">
        <v>9</v>
      </c>
    </row>
    <row r="38" spans="1:14" ht="15" customHeight="1" x14ac:dyDescent="0.2">
      <c r="A38" s="5"/>
      <c r="B38" s="8"/>
      <c r="C38" s="8"/>
      <c r="D38" s="114"/>
      <c r="G38" s="53"/>
    </row>
    <row r="39" spans="1:14" ht="22.5" customHeight="1" x14ac:dyDescent="0.2">
      <c r="A39" s="65" t="s">
        <v>176</v>
      </c>
      <c r="B39" s="66"/>
      <c r="C39" s="66"/>
      <c r="D39" s="171"/>
      <c r="E39" s="164"/>
      <c r="F39" s="68"/>
      <c r="G39" s="77"/>
      <c r="H39" s="68"/>
      <c r="I39" s="68"/>
    </row>
    <row r="40" spans="1:14" ht="15" customHeight="1" x14ac:dyDescent="0.2">
      <c r="A40" s="5"/>
      <c r="B40" s="8"/>
      <c r="C40" s="8"/>
      <c r="D40" s="172" t="s">
        <v>162</v>
      </c>
      <c r="E40" s="15"/>
      <c r="F40" s="19"/>
      <c r="G40" s="83" t="s">
        <v>20</v>
      </c>
    </row>
    <row r="41" spans="1:14" ht="15.75" customHeight="1" thickBot="1" x14ac:dyDescent="0.25">
      <c r="A41" s="3" t="s">
        <v>186</v>
      </c>
      <c r="D41" s="129"/>
      <c r="G41" s="20"/>
    </row>
    <row r="42" spans="1:14" ht="15" customHeight="1" thickBot="1" x14ac:dyDescent="0.25">
      <c r="A42" s="5" t="s">
        <v>17</v>
      </c>
      <c r="B42" s="8"/>
      <c r="C42" s="8"/>
      <c r="D42" s="130"/>
      <c r="E42" s="1" t="s">
        <v>9</v>
      </c>
      <c r="G42" s="98">
        <f>SUM(D42:D45)</f>
        <v>0</v>
      </c>
      <c r="H42" s="19" t="s">
        <v>9</v>
      </c>
      <c r="I42" s="19"/>
    </row>
    <row r="43" spans="1:14" ht="15" customHeight="1" x14ac:dyDescent="0.2">
      <c r="A43" s="5" t="s">
        <v>153</v>
      </c>
      <c r="B43" s="8"/>
      <c r="C43" s="8"/>
      <c r="D43" s="131"/>
      <c r="E43" s="1" t="s">
        <v>9</v>
      </c>
      <c r="G43" s="61"/>
      <c r="H43" s="19"/>
      <c r="I43" s="19"/>
    </row>
    <row r="44" spans="1:14" ht="15" customHeight="1" x14ac:dyDescent="0.2">
      <c r="A44" s="5" t="s">
        <v>18</v>
      </c>
      <c r="B44" s="8"/>
      <c r="C44" s="8"/>
      <c r="D44" s="132"/>
      <c r="E44" s="1" t="s">
        <v>9</v>
      </c>
      <c r="G44" s="61"/>
      <c r="H44" s="19"/>
      <c r="I44" s="19"/>
      <c r="N44" s="90"/>
    </row>
    <row r="45" spans="1:14" ht="15" customHeight="1" thickBot="1" x14ac:dyDescent="0.25">
      <c r="A45" s="5" t="s">
        <v>19</v>
      </c>
      <c r="B45" s="8"/>
      <c r="C45" s="8"/>
      <c r="D45" s="133"/>
      <c r="E45" s="1" t="s">
        <v>9</v>
      </c>
      <c r="G45" s="61"/>
    </row>
    <row r="46" spans="1:14" ht="15" customHeight="1" x14ac:dyDescent="0.2">
      <c r="A46" s="5"/>
      <c r="B46" s="8"/>
      <c r="C46" s="8"/>
      <c r="D46" s="60"/>
    </row>
    <row r="47" spans="1:14" ht="15.75" customHeight="1" x14ac:dyDescent="0.2">
      <c r="A47" s="3" t="s">
        <v>170</v>
      </c>
      <c r="B47" s="8"/>
      <c r="C47" s="8"/>
      <c r="D47" s="63"/>
      <c r="E47" s="9"/>
    </row>
    <row r="48" spans="1:14" ht="15" customHeight="1" x14ac:dyDescent="0.2">
      <c r="A48" s="5"/>
      <c r="B48" s="8"/>
      <c r="C48" s="8"/>
      <c r="D48" s="63"/>
    </row>
    <row r="49" spans="1:10" ht="15" customHeight="1" thickBot="1" x14ac:dyDescent="0.25">
      <c r="A49" s="64" t="s">
        <v>177</v>
      </c>
      <c r="B49" s="8"/>
      <c r="C49" s="8"/>
      <c r="D49" s="63"/>
    </row>
    <row r="50" spans="1:10" ht="15" customHeight="1" thickBot="1" x14ac:dyDescent="0.25">
      <c r="A50" s="5" t="s">
        <v>172</v>
      </c>
      <c r="B50" s="8"/>
      <c r="C50" s="8"/>
      <c r="D50" s="62"/>
      <c r="E50" s="151" t="s">
        <v>212</v>
      </c>
      <c r="F50" s="59"/>
      <c r="G50" s="95">
        <f>G42*D50</f>
        <v>0</v>
      </c>
      <c r="H50" s="5" t="s">
        <v>9</v>
      </c>
    </row>
    <row r="51" spans="1:10" ht="15" customHeight="1" x14ac:dyDescent="0.2">
      <c r="A51" s="5"/>
      <c r="B51" s="8"/>
      <c r="C51" s="8"/>
      <c r="D51" s="4"/>
      <c r="F51" s="5"/>
      <c r="G51" s="5"/>
    </row>
    <row r="52" spans="1:10" ht="22.5" customHeight="1" x14ac:dyDescent="0.2">
      <c r="A52" s="65" t="s">
        <v>269</v>
      </c>
      <c r="B52" s="66"/>
      <c r="C52" s="66"/>
      <c r="D52" s="67"/>
      <c r="E52" s="68"/>
      <c r="F52" s="69"/>
      <c r="G52" s="78"/>
      <c r="H52" s="68"/>
      <c r="I52" s="68"/>
    </row>
    <row r="53" spans="1:10" ht="13.5" thickBot="1" x14ac:dyDescent="0.25">
      <c r="B53" s="4"/>
      <c r="C53" s="4"/>
      <c r="D53" s="4"/>
      <c r="F53" s="5"/>
      <c r="G53" s="5"/>
    </row>
    <row r="54" spans="1:10" ht="12.75" customHeight="1" x14ac:dyDescent="0.2">
      <c r="A54" s="319" t="s">
        <v>181</v>
      </c>
      <c r="B54" s="292" t="s">
        <v>183</v>
      </c>
      <c r="C54" s="313" t="s">
        <v>263</v>
      </c>
      <c r="D54" s="315" t="s">
        <v>264</v>
      </c>
    </row>
    <row r="55" spans="1:10" x14ac:dyDescent="0.2">
      <c r="A55" s="320"/>
      <c r="B55" s="293"/>
      <c r="C55" s="314"/>
      <c r="D55" s="316"/>
    </row>
    <row r="56" spans="1:10" x14ac:dyDescent="0.2">
      <c r="A56" s="321"/>
      <c r="B56" s="294"/>
      <c r="C56" s="314"/>
      <c r="D56" s="316"/>
    </row>
    <row r="57" spans="1:10" x14ac:dyDescent="0.2">
      <c r="A57" s="74" t="s">
        <v>4</v>
      </c>
      <c r="B57" s="143"/>
      <c r="C57" s="272">
        <f>$G$37*(1+0)</f>
        <v>463.80104579158291</v>
      </c>
      <c r="D57" s="273">
        <f>C57-$G$37</f>
        <v>0</v>
      </c>
    </row>
    <row r="58" spans="1:10" x14ac:dyDescent="0.2">
      <c r="A58" s="74" t="s">
        <v>5</v>
      </c>
      <c r="B58" s="143"/>
      <c r="C58" s="272">
        <f>$G$37*(1+0)</f>
        <v>463.80104579158291</v>
      </c>
      <c r="D58" s="273">
        <f>C58-$G$37</f>
        <v>0</v>
      </c>
    </row>
    <row r="59" spans="1:10" x14ac:dyDescent="0.2">
      <c r="A59" s="74" t="s">
        <v>6</v>
      </c>
      <c r="B59" s="143"/>
      <c r="C59" s="272">
        <f>$G$37*(1+0.007)</f>
        <v>467.04765311212395</v>
      </c>
      <c r="D59" s="273">
        <f>C59-$G$37</f>
        <v>3.2466073205410453</v>
      </c>
    </row>
    <row r="60" spans="1:10" x14ac:dyDescent="0.2">
      <c r="A60" s="74" t="s">
        <v>7</v>
      </c>
      <c r="B60" s="143"/>
      <c r="C60" s="272">
        <f>$G$37*(1+0.026)</f>
        <v>475.85987298216406</v>
      </c>
      <c r="D60" s="273">
        <f>C60-$G$37</f>
        <v>12.058827190581155</v>
      </c>
    </row>
    <row r="61" spans="1:10" x14ac:dyDescent="0.2">
      <c r="A61" s="74" t="s">
        <v>8</v>
      </c>
      <c r="B61" s="144"/>
      <c r="C61" s="272">
        <f>$G$37*(1+0.061)</f>
        <v>492.09290958486946</v>
      </c>
      <c r="D61" s="273">
        <f>C61-$G$37</f>
        <v>28.291863793286552</v>
      </c>
      <c r="E61" s="169"/>
      <c r="F61" s="169"/>
    </row>
    <row r="62" spans="1:10" ht="13.5" thickBot="1" x14ac:dyDescent="0.25">
      <c r="A62" s="75" t="s">
        <v>182</v>
      </c>
      <c r="B62" s="76">
        <f>SUM(B57:B61)</f>
        <v>0</v>
      </c>
      <c r="C62" s="274"/>
      <c r="D62" s="275">
        <f>IF(B62=0,0,SUMPRODUCT(D57:D61,B57:B61)/B62)</f>
        <v>0</v>
      </c>
      <c r="E62" s="169" t="s">
        <v>277</v>
      </c>
      <c r="F62" s="169"/>
    </row>
    <row r="63" spans="1:10" x14ac:dyDescent="0.2">
      <c r="A63" s="16"/>
      <c r="B63" s="16"/>
      <c r="C63" s="16"/>
      <c r="D63" s="72"/>
      <c r="E63" s="16"/>
    </row>
    <row r="64" spans="1:10" s="7" customFormat="1" ht="22.5" customHeight="1" x14ac:dyDescent="0.2">
      <c r="A64" s="84" t="s">
        <v>3</v>
      </c>
      <c r="B64" s="85"/>
      <c r="C64" s="85"/>
      <c r="D64" s="86"/>
      <c r="E64" s="85"/>
      <c r="F64" s="87"/>
      <c r="G64" s="87"/>
      <c r="H64" s="87"/>
      <c r="I64" s="87"/>
      <c r="J64" s="124"/>
    </row>
    <row r="65" spans="1:7" ht="13.5" thickBot="1" x14ac:dyDescent="0.25">
      <c r="A65" s="16"/>
      <c r="B65" s="16"/>
      <c r="C65" s="16"/>
      <c r="D65" s="72"/>
      <c r="E65" s="16"/>
    </row>
    <row r="66" spans="1:7" x14ac:dyDescent="0.2">
      <c r="A66" s="5" t="s">
        <v>175</v>
      </c>
      <c r="D66" s="99">
        <f>(G14+G22+G26)*D14</f>
        <v>463.80104579158291</v>
      </c>
      <c r="E66" s="1" t="s">
        <v>9</v>
      </c>
      <c r="F66" s="14"/>
      <c r="G66" s="105"/>
    </row>
    <row r="67" spans="1:7" x14ac:dyDescent="0.2">
      <c r="A67" s="5" t="s">
        <v>231</v>
      </c>
      <c r="D67" s="161">
        <f>(G31+G34)*D14+D62</f>
        <v>0</v>
      </c>
      <c r="E67" s="1" t="s">
        <v>9</v>
      </c>
      <c r="F67" s="14"/>
      <c r="G67" s="105"/>
    </row>
    <row r="68" spans="1:7" x14ac:dyDescent="0.2">
      <c r="A68" s="5" t="s">
        <v>176</v>
      </c>
      <c r="D68" s="100">
        <f>G42</f>
        <v>0</v>
      </c>
      <c r="E68" s="1" t="s">
        <v>9</v>
      </c>
      <c r="F68" s="14"/>
      <c r="G68" s="105"/>
    </row>
    <row r="69" spans="1:7" x14ac:dyDescent="0.2">
      <c r="A69" s="5" t="s">
        <v>232</v>
      </c>
      <c r="D69" s="162">
        <f>G50</f>
        <v>0</v>
      </c>
      <c r="E69" s="1" t="s">
        <v>9</v>
      </c>
      <c r="F69" s="14"/>
      <c r="G69" s="105"/>
    </row>
    <row r="70" spans="1:7" ht="13.5" thickBot="1" x14ac:dyDescent="0.25">
      <c r="A70" s="64" t="s">
        <v>3</v>
      </c>
      <c r="D70" s="101">
        <f>SUM(D66:D69)</f>
        <v>463.80104579158291</v>
      </c>
      <c r="E70" s="56" t="s">
        <v>9</v>
      </c>
      <c r="F70" s="14"/>
      <c r="G70" s="105"/>
    </row>
    <row r="71" spans="1:7" ht="13.5" thickBot="1" x14ac:dyDescent="0.25">
      <c r="A71" s="5"/>
      <c r="D71" s="5"/>
      <c r="F71" s="14"/>
      <c r="G71" s="105"/>
    </row>
    <row r="72" spans="1:7" x14ac:dyDescent="0.2">
      <c r="A72" s="80" t="s">
        <v>270</v>
      </c>
      <c r="D72" s="99">
        <f>B62</f>
        <v>0</v>
      </c>
      <c r="E72" s="1" t="s">
        <v>10</v>
      </c>
      <c r="F72" s="14"/>
      <c r="G72" s="105"/>
    </row>
    <row r="73" spans="1:7" x14ac:dyDescent="0.2">
      <c r="A73" s="51" t="s">
        <v>71</v>
      </c>
      <c r="D73" s="145">
        <v>0.9</v>
      </c>
      <c r="E73" s="1" t="s">
        <v>212</v>
      </c>
      <c r="F73" s="14"/>
      <c r="G73" s="105"/>
    </row>
    <row r="74" spans="1:7" x14ac:dyDescent="0.2">
      <c r="A74" s="5" t="s">
        <v>179</v>
      </c>
      <c r="D74" s="106">
        <f>(D66+D67)*D72*D73</f>
        <v>0</v>
      </c>
      <c r="E74" s="1" t="s">
        <v>11</v>
      </c>
      <c r="F74" s="14"/>
      <c r="G74" s="5"/>
    </row>
    <row r="75" spans="1:7" x14ac:dyDescent="0.2">
      <c r="A75" s="13" t="s">
        <v>180</v>
      </c>
      <c r="D75" s="106">
        <f>(D68+D69)*D72*D73</f>
        <v>0</v>
      </c>
      <c r="E75" s="1" t="s">
        <v>11</v>
      </c>
      <c r="F75" s="14"/>
      <c r="G75" s="5"/>
    </row>
    <row r="76" spans="1:7" ht="13.5" thickBot="1" x14ac:dyDescent="0.25">
      <c r="A76" s="64" t="s">
        <v>152</v>
      </c>
      <c r="D76" s="103">
        <f>D70*D72*D73</f>
        <v>0</v>
      </c>
      <c r="E76" s="7" t="s">
        <v>11</v>
      </c>
      <c r="F76" s="14"/>
      <c r="G76" s="5"/>
    </row>
    <row r="77" spans="1:7" x14ac:dyDescent="0.2">
      <c r="A77" s="64"/>
      <c r="D77" s="108"/>
      <c r="E77" s="7"/>
      <c r="F77" s="14"/>
      <c r="G77" s="5"/>
    </row>
    <row r="78" spans="1:7" x14ac:dyDescent="0.2">
      <c r="A78" s="64"/>
      <c r="D78" s="108"/>
      <c r="E78" s="7"/>
      <c r="F78" s="14"/>
      <c r="G78" s="5"/>
    </row>
    <row r="79" spans="1:7" x14ac:dyDescent="0.2">
      <c r="A79" s="280" t="s">
        <v>24</v>
      </c>
      <c r="B79" s="280"/>
      <c r="C79" s="280"/>
      <c r="D79" s="280"/>
      <c r="E79" s="7"/>
      <c r="F79" s="14"/>
      <c r="G79" s="5"/>
    </row>
    <row r="80" spans="1:7" ht="12.75" customHeight="1" x14ac:dyDescent="0.2">
      <c r="A80" s="280"/>
      <c r="B80" s="280"/>
      <c r="C80" s="280"/>
      <c r="D80" s="280"/>
      <c r="E80" s="7"/>
      <c r="F80" s="14"/>
      <c r="G80" s="5"/>
    </row>
    <row r="81" spans="1:8" x14ac:dyDescent="0.2">
      <c r="A81" s="280"/>
      <c r="B81" s="280"/>
      <c r="C81" s="280"/>
      <c r="D81" s="280"/>
      <c r="E81" s="7"/>
      <c r="F81" s="14"/>
      <c r="G81" s="5"/>
    </row>
    <row r="82" spans="1:8" ht="25.5" customHeight="1" x14ac:dyDescent="0.2">
      <c r="A82" s="280"/>
      <c r="B82" s="280"/>
      <c r="C82" s="280"/>
      <c r="D82" s="280"/>
      <c r="E82" s="157"/>
      <c r="F82" s="157"/>
      <c r="G82" s="157"/>
      <c r="H82" s="157"/>
    </row>
    <row r="83" spans="1:8" ht="18.75" customHeight="1" x14ac:dyDescent="0.2">
      <c r="A83" s="282"/>
      <c r="B83" s="282"/>
      <c r="C83" s="282"/>
      <c r="D83" s="282"/>
    </row>
    <row r="84" spans="1:8" x14ac:dyDescent="0.2">
      <c r="A84" s="1" t="s">
        <v>0</v>
      </c>
      <c r="D84" s="10" t="s">
        <v>2</v>
      </c>
    </row>
    <row r="85" spans="1:8" ht="18.75" customHeight="1" x14ac:dyDescent="0.2">
      <c r="A85" s="11"/>
      <c r="B85" s="11"/>
      <c r="C85" s="11"/>
      <c r="D85" s="11"/>
    </row>
    <row r="86" spans="1:8" x14ac:dyDescent="0.2">
      <c r="A86" s="1" t="s">
        <v>1</v>
      </c>
      <c r="H86" s="57" t="s">
        <v>288</v>
      </c>
    </row>
  </sheetData>
  <sheetProtection algorithmName="SHA-512" hashValue="jgss+E9b1rAuhh+C40zI/X9OnTntc1ds+Q1crEz8ZC6J3C2nTgOv880rbynAGOdoTOQxc6iE72cfsqFDOzTqBg==" saltValue="bMqwvTG+uEGH08FmExYGWA==" spinCount="100000" sheet="1" objects="1" scenarios="1"/>
  <mergeCells count="14">
    <mergeCell ref="A83:D83"/>
    <mergeCell ref="A4:B4"/>
    <mergeCell ref="D4:F4"/>
    <mergeCell ref="D8:E8"/>
    <mergeCell ref="D9:E9"/>
    <mergeCell ref="A54:A56"/>
    <mergeCell ref="B54:B56"/>
    <mergeCell ref="A79:D82"/>
    <mergeCell ref="D2:I2"/>
    <mergeCell ref="D7:E7"/>
    <mergeCell ref="H4:I4"/>
    <mergeCell ref="C54:C56"/>
    <mergeCell ref="D54:D56"/>
    <mergeCell ref="D6:E6"/>
  </mergeCells>
  <phoneticPr fontId="8" type="noConversion"/>
  <dataValidations count="9">
    <dataValidation type="decimal" allowBlank="1" showInputMessage="1" showErrorMessage="1" errorTitle="Valeur autorisée" error="La valeur saisie doit être comprise entre 0 et 3,2%" sqref="D34">
      <formula1>0</formula1>
      <formula2>0.032</formula2>
    </dataValidation>
    <dataValidation type="decimal" allowBlank="1" showInputMessage="1" showErrorMessage="1" errorTitle="Valeur autorisée" error="La valeur saisie doit être comprise entre 0 et 1,2%" sqref="D50">
      <formula1>0</formula1>
      <formula2>0.012</formula2>
    </dataValidation>
    <dataValidation type="list" allowBlank="1" showInputMessage="1" showErrorMessage="1" sqref="D73">
      <formula1>Investissement</formula1>
    </dataValidation>
    <dataValidation type="list" allowBlank="1" showInputMessage="1" showErrorMessage="1" sqref="D42">
      <formula1>Sup</formula1>
    </dataValidation>
    <dataValidation type="list" allowBlank="1" showInputMessage="1" showErrorMessage="1" sqref="D43">
      <formula1>Qualite</formula1>
    </dataValidation>
    <dataValidation type="list" allowBlank="1" showInputMessage="1" showErrorMessage="1" sqref="D44">
      <formula1>InvAT</formula1>
    </dataValidation>
    <dataValidation type="list" allowBlank="1" showInputMessage="1" showErrorMessage="1" sqref="D45">
      <formula1>Rapport</formula1>
    </dataValidation>
    <dataValidation type="decimal" operator="greaterThanOrEqual" allowBlank="1" showInputMessage="1" showErrorMessage="1" errorTitle="Valeur autorisée" error="Vous devez entrer une valeur positive" sqref="D26">
      <formula1>0</formula1>
    </dataValidation>
    <dataValidation type="decimal" operator="greaterThanOrEqual" allowBlank="1" showInputMessage="1" showErrorMessage="1" errorTitle="Valeur autorisée" error="La valeur saisie doit être supérieure à 15 m_x000a__x000a_Laissez la cellule vide si non applicable" sqref="D31">
      <formula1>15</formula1>
    </dataValidation>
  </dataValidations>
  <printOptions horizontalCentered="1"/>
  <pageMargins left="0" right="0" top="0" bottom="0" header="0.51181102362204722" footer="0.51181102362204722"/>
  <pageSetup paperSize="5" scale="74" orientation="portrait" r:id="rId1"/>
  <headerFooter alignWithMargins="0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pageSetUpPr fitToPage="1"/>
  </sheetPr>
  <dimension ref="A1:N83"/>
  <sheetViews>
    <sheetView showGridLines="0" zoomScaleNormal="100" workbookViewId="0">
      <selection activeCell="A4" sqref="A4:B4"/>
    </sheetView>
  </sheetViews>
  <sheetFormatPr baseColWidth="10" defaultColWidth="11.42578125" defaultRowHeight="12.75" x14ac:dyDescent="0.2"/>
  <cols>
    <col min="1" max="1" width="11.42578125" style="1"/>
    <col min="2" max="2" width="13.28515625" style="1" customWidth="1"/>
    <col min="3" max="3" width="12" style="1" customWidth="1"/>
    <col min="4" max="4" width="11.42578125" style="1"/>
    <col min="5" max="5" width="8.28515625" style="1" customWidth="1"/>
    <col min="6" max="6" width="42.140625" style="1" customWidth="1"/>
    <col min="7" max="7" width="13" style="1" customWidth="1"/>
    <col min="8" max="8" width="14.42578125" style="1" customWidth="1"/>
    <col min="9" max="9" width="6.5703125" style="1" customWidth="1"/>
    <col min="10" max="10" width="1.85546875" style="1" customWidth="1"/>
    <col min="11" max="16384" width="11.42578125" style="1"/>
  </cols>
  <sheetData>
    <row r="1" spans="1:11" s="2" customFormat="1" ht="21.75" customHeight="1" x14ac:dyDescent="0.2">
      <c r="A1" s="22"/>
      <c r="B1" s="22"/>
      <c r="C1" s="22"/>
      <c r="D1" s="22"/>
      <c r="E1" s="22"/>
      <c r="F1" s="22"/>
      <c r="G1" s="22"/>
    </row>
    <row r="2" spans="1:11" s="2" customFormat="1" ht="88.5" customHeight="1" x14ac:dyDescent="0.2">
      <c r="A2" s="22"/>
      <c r="B2" s="22"/>
      <c r="C2" s="22"/>
      <c r="D2" s="310" t="s">
        <v>271</v>
      </c>
      <c r="E2" s="310"/>
      <c r="F2" s="310"/>
      <c r="G2" s="310"/>
      <c r="H2" s="310"/>
      <c r="I2" s="310"/>
      <c r="J2" s="163"/>
    </row>
    <row r="4" spans="1:11" s="2" customFormat="1" ht="75.75" customHeight="1" x14ac:dyDescent="0.2">
      <c r="A4" s="312" t="s">
        <v>278</v>
      </c>
      <c r="B4" s="312"/>
      <c r="C4" s="17"/>
      <c r="D4" s="312" t="s">
        <v>199</v>
      </c>
      <c r="E4" s="312"/>
      <c r="F4" s="312"/>
      <c r="G4" s="18"/>
      <c r="H4" s="312" t="s">
        <v>197</v>
      </c>
      <c r="I4" s="312"/>
    </row>
    <row r="6" spans="1:11" x14ac:dyDescent="0.2">
      <c r="A6" s="1" t="s">
        <v>287</v>
      </c>
      <c r="D6" s="317"/>
      <c r="E6" s="318"/>
    </row>
    <row r="7" spans="1:11" x14ac:dyDescent="0.2">
      <c r="A7" s="1" t="s">
        <v>13</v>
      </c>
      <c r="D7" s="305"/>
      <c r="E7" s="305"/>
    </row>
    <row r="8" spans="1:11" x14ac:dyDescent="0.2">
      <c r="A8" s="1" t="s">
        <v>14</v>
      </c>
      <c r="D8" s="305"/>
      <c r="E8" s="305"/>
    </row>
    <row r="9" spans="1:11" x14ac:dyDescent="0.2">
      <c r="A9" s="1" t="s">
        <v>234</v>
      </c>
      <c r="D9" s="308"/>
      <c r="E9" s="309"/>
    </row>
    <row r="10" spans="1:11" x14ac:dyDescent="0.2">
      <c r="D10" s="15"/>
      <c r="E10" s="15"/>
    </row>
    <row r="11" spans="1:11" ht="22.5" customHeight="1" x14ac:dyDescent="0.2">
      <c r="A11" s="70" t="s">
        <v>175</v>
      </c>
      <c r="B11" s="68"/>
      <c r="C11" s="68"/>
      <c r="D11" s="68"/>
      <c r="E11" s="164"/>
      <c r="F11" s="68"/>
      <c r="G11" s="68"/>
      <c r="H11" s="68"/>
      <c r="I11" s="68"/>
      <c r="J11" s="68"/>
    </row>
    <row r="12" spans="1:11" ht="15" customHeight="1" x14ac:dyDescent="0.2">
      <c r="A12" s="82"/>
      <c r="B12" s="19"/>
      <c r="C12" s="19"/>
      <c r="D12" s="165" t="s">
        <v>162</v>
      </c>
      <c r="E12" s="15"/>
      <c r="F12" s="19"/>
      <c r="G12" s="83" t="s">
        <v>20</v>
      </c>
      <c r="H12" s="19"/>
      <c r="I12" s="19"/>
      <c r="J12" s="19"/>
    </row>
    <row r="13" spans="1:11" ht="15.75" customHeight="1" thickBot="1" x14ac:dyDescent="0.25">
      <c r="A13" s="3" t="s">
        <v>174</v>
      </c>
      <c r="F13" s="3"/>
    </row>
    <row r="14" spans="1:11" ht="15" customHeight="1" thickBot="1" x14ac:dyDescent="0.25">
      <c r="A14" s="1" t="s">
        <v>237</v>
      </c>
      <c r="D14" s="146">
        <v>62</v>
      </c>
      <c r="E14" s="1" t="s">
        <v>163</v>
      </c>
      <c r="G14" s="93">
        <f xml:space="preserve"> (-0.018*$D14 + 311.6/$D14 + 3.92*EXP(-0.0069*$D14)- 0.31) + ((4.35/($D16^0.34)) - (4.35/($D15^0.34))) + ((EXP(2.558-0.237*LN(D16)))+EXP(2.056-0.391*LN(D16)))/2  -((EXP(2.286-0.237*LN(D15))+EXP(1.978-0.391*LN(D15)))/2)</f>
        <v>7.3925161769277548</v>
      </c>
      <c r="H14" s="6" t="s">
        <v>167</v>
      </c>
      <c r="K14" s="10"/>
    </row>
    <row r="15" spans="1:11" ht="15" customHeight="1" x14ac:dyDescent="0.2">
      <c r="A15" s="1" t="s">
        <v>164</v>
      </c>
      <c r="D15" s="147">
        <v>0.27</v>
      </c>
      <c r="E15" s="1" t="s">
        <v>165</v>
      </c>
      <c r="G15" s="166"/>
      <c r="H15" s="6"/>
    </row>
    <row r="16" spans="1:11" ht="15" customHeight="1" thickBot="1" x14ac:dyDescent="0.25">
      <c r="A16" s="1" t="s">
        <v>185</v>
      </c>
      <c r="D16" s="153">
        <v>0.33</v>
      </c>
      <c r="E16" s="1" t="s">
        <v>165</v>
      </c>
      <c r="G16" s="14"/>
      <c r="H16" s="6"/>
    </row>
    <row r="17" spans="1:10" ht="15" customHeight="1" x14ac:dyDescent="0.2">
      <c r="D17" s="113"/>
    </row>
    <row r="18" spans="1:10" ht="15.75" customHeight="1" x14ac:dyDescent="0.2">
      <c r="A18" s="109" t="s">
        <v>168</v>
      </c>
      <c r="B18" s="19"/>
      <c r="C18" s="19"/>
      <c r="D18" s="129"/>
      <c r="E18" s="19"/>
      <c r="F18" s="15"/>
      <c r="G18" s="15"/>
      <c r="H18" s="15"/>
      <c r="I18" s="15"/>
      <c r="J18" s="19"/>
    </row>
    <row r="19" spans="1:10" ht="15.75" customHeight="1" x14ac:dyDescent="0.2">
      <c r="A19" s="109"/>
      <c r="B19" s="19"/>
      <c r="C19" s="19"/>
      <c r="D19" s="129"/>
      <c r="E19" s="19"/>
      <c r="F19" s="15"/>
      <c r="G19" s="15"/>
      <c r="H19" s="15"/>
      <c r="I19" s="15"/>
      <c r="J19" s="19"/>
    </row>
    <row r="20" spans="1:10" ht="15" customHeight="1" thickBot="1" x14ac:dyDescent="0.25">
      <c r="A20" s="56" t="s">
        <v>210</v>
      </c>
      <c r="D20" s="73"/>
      <c r="F20" s="24"/>
      <c r="G20" s="24"/>
      <c r="H20" s="24"/>
      <c r="I20" s="23"/>
    </row>
    <row r="21" spans="1:10" ht="15" customHeight="1" x14ac:dyDescent="0.2">
      <c r="A21" s="24" t="s">
        <v>158</v>
      </c>
      <c r="D21" s="136"/>
      <c r="E21" s="1" t="s">
        <v>16</v>
      </c>
      <c r="F21" s="24"/>
      <c r="G21" s="111">
        <f>IF(IF((D21+D22+D23=0),0,1-((((D21+D22)*2)*(D22/D21))/(D21+2*D22+D23)))&lt;0,0,IF((D21+D22+D23=0),0,1-((((D21+D22)*2)*(D22/D21))/(D21+2*D22+D23))))</f>
        <v>0</v>
      </c>
      <c r="H21" s="24"/>
      <c r="I21" s="23"/>
    </row>
    <row r="22" spans="1:10" ht="15" customHeight="1" thickBot="1" x14ac:dyDescent="0.25">
      <c r="A22" s="110" t="s">
        <v>211</v>
      </c>
      <c r="D22" s="137"/>
      <c r="E22" s="1" t="s">
        <v>16</v>
      </c>
      <c r="F22" s="24"/>
      <c r="G22" s="112">
        <f>-G14*G21</f>
        <v>0</v>
      </c>
      <c r="H22" s="52" t="s">
        <v>167</v>
      </c>
      <c r="I22" s="23"/>
    </row>
    <row r="23" spans="1:10" ht="15" customHeight="1" thickBot="1" x14ac:dyDescent="0.25">
      <c r="A23" s="24" t="s">
        <v>159</v>
      </c>
      <c r="D23" s="138"/>
      <c r="E23" s="1" t="s">
        <v>16</v>
      </c>
      <c r="F23" s="24"/>
      <c r="G23" s="24"/>
      <c r="H23" s="24"/>
      <c r="I23" s="23"/>
    </row>
    <row r="24" spans="1:10" ht="15" customHeight="1" x14ac:dyDescent="0.2">
      <c r="D24" s="73"/>
      <c r="F24" s="24"/>
      <c r="G24" s="24"/>
      <c r="H24" s="24"/>
      <c r="I24" s="23"/>
    </row>
    <row r="25" spans="1:10" ht="15" customHeight="1" thickBot="1" x14ac:dyDescent="0.25">
      <c r="A25" s="56" t="s">
        <v>209</v>
      </c>
      <c r="D25" s="73"/>
      <c r="F25" s="24"/>
      <c r="G25" s="24"/>
      <c r="H25" s="24"/>
      <c r="I25" s="23"/>
    </row>
    <row r="26" spans="1:10" ht="15" customHeight="1" thickBot="1" x14ac:dyDescent="0.25">
      <c r="A26" s="1" t="s">
        <v>169</v>
      </c>
      <c r="D26" s="156"/>
      <c r="E26" s="1" t="s">
        <v>212</v>
      </c>
      <c r="F26" s="52"/>
      <c r="G26" s="94">
        <f>-G14*D26</f>
        <v>0</v>
      </c>
      <c r="H26" s="52" t="s">
        <v>167</v>
      </c>
      <c r="I26" s="23"/>
    </row>
    <row r="27" spans="1:10" ht="15" customHeight="1" x14ac:dyDescent="0.2">
      <c r="D27" s="113"/>
      <c r="E27" s="4"/>
      <c r="H27" s="4"/>
      <c r="I27" s="4"/>
    </row>
    <row r="28" spans="1:10" ht="15.75" customHeight="1" x14ac:dyDescent="0.2">
      <c r="A28" s="3" t="s">
        <v>170</v>
      </c>
      <c r="D28" s="113"/>
      <c r="E28" s="4"/>
      <c r="H28" s="4"/>
      <c r="I28" s="4"/>
    </row>
    <row r="29" spans="1:10" ht="15" customHeight="1" x14ac:dyDescent="0.2">
      <c r="A29" s="5"/>
      <c r="B29" s="8"/>
      <c r="C29" s="8"/>
      <c r="D29" s="115"/>
      <c r="F29" s="16"/>
      <c r="G29" s="15"/>
      <c r="H29" s="16"/>
    </row>
    <row r="30" spans="1:10" ht="15" customHeight="1" thickBot="1" x14ac:dyDescent="0.25">
      <c r="A30" s="56" t="s">
        <v>173</v>
      </c>
      <c r="B30" s="8"/>
      <c r="C30" s="8"/>
      <c r="D30" s="114"/>
    </row>
    <row r="31" spans="1:10" ht="15" thickBot="1" x14ac:dyDescent="0.25">
      <c r="A31" s="5" t="s">
        <v>172</v>
      </c>
      <c r="B31" s="8"/>
      <c r="C31" s="8"/>
      <c r="D31" s="116"/>
      <c r="E31" s="150" t="s">
        <v>212</v>
      </c>
      <c r="F31" s="59"/>
      <c r="G31" s="95">
        <f>(G14+G22+G26)*D31</f>
        <v>0</v>
      </c>
      <c r="H31" s="5" t="s">
        <v>167</v>
      </c>
    </row>
    <row r="32" spans="1:10" ht="13.5" thickBot="1" x14ac:dyDescent="0.25">
      <c r="A32" s="5"/>
      <c r="B32" s="8"/>
      <c r="C32" s="8"/>
      <c r="D32" s="170"/>
      <c r="E32" s="92"/>
      <c r="F32" s="59"/>
      <c r="G32" s="79"/>
      <c r="H32" s="5"/>
    </row>
    <row r="33" spans="1:14" ht="14.25" x14ac:dyDescent="0.2">
      <c r="A33" s="5"/>
      <c r="B33" s="8"/>
      <c r="C33" s="8"/>
      <c r="D33" s="170"/>
      <c r="F33" s="277" t="s">
        <v>178</v>
      </c>
      <c r="G33" s="96">
        <f>(G14+G22+G26+G31)</f>
        <v>7.3925161769277548</v>
      </c>
      <c r="H33" s="5" t="s">
        <v>167</v>
      </c>
    </row>
    <row r="34" spans="1:14" ht="13.5" thickBot="1" x14ac:dyDescent="0.25">
      <c r="A34" s="5"/>
      <c r="B34" s="8"/>
      <c r="C34" s="8"/>
      <c r="D34" s="170"/>
      <c r="F34" s="278" t="s">
        <v>178</v>
      </c>
      <c r="G34" s="97">
        <f>G33*D14</f>
        <v>458.33600296952079</v>
      </c>
      <c r="H34" s="5" t="s">
        <v>9</v>
      </c>
    </row>
    <row r="35" spans="1:14" ht="15" customHeight="1" x14ac:dyDescent="0.2">
      <c r="A35" s="5"/>
      <c r="B35" s="8"/>
      <c r="C35" s="8"/>
      <c r="D35" s="114"/>
      <c r="G35" s="53"/>
    </row>
    <row r="36" spans="1:14" ht="22.5" customHeight="1" x14ac:dyDescent="0.2">
      <c r="A36" s="65" t="s">
        <v>176</v>
      </c>
      <c r="B36" s="66"/>
      <c r="C36" s="66"/>
      <c r="D36" s="171"/>
      <c r="E36" s="164"/>
      <c r="F36" s="68"/>
      <c r="G36" s="77"/>
      <c r="H36" s="68"/>
      <c r="I36" s="68"/>
      <c r="J36" s="68"/>
    </row>
    <row r="37" spans="1:14" ht="15" customHeight="1" x14ac:dyDescent="0.2">
      <c r="A37" s="5"/>
      <c r="B37" s="8"/>
      <c r="C37" s="8"/>
      <c r="D37" s="172" t="s">
        <v>162</v>
      </c>
      <c r="E37" s="15"/>
      <c r="F37" s="19"/>
      <c r="G37" s="83" t="s">
        <v>20</v>
      </c>
    </row>
    <row r="38" spans="1:14" ht="15.75" customHeight="1" thickBot="1" x14ac:dyDescent="0.25">
      <c r="A38" s="3" t="s">
        <v>186</v>
      </c>
      <c r="D38" s="129"/>
      <c r="G38" s="20"/>
    </row>
    <row r="39" spans="1:14" ht="15" customHeight="1" thickBot="1" x14ac:dyDescent="0.25">
      <c r="A39" s="5" t="s">
        <v>17</v>
      </c>
      <c r="B39" s="8"/>
      <c r="C39" s="8"/>
      <c r="D39" s="130"/>
      <c r="E39" s="1" t="s">
        <v>9</v>
      </c>
      <c r="G39" s="98">
        <f>SUM(D39:D42)</f>
        <v>0</v>
      </c>
      <c r="H39" s="19" t="s">
        <v>9</v>
      </c>
      <c r="I39" s="19"/>
    </row>
    <row r="40" spans="1:14" ht="15" customHeight="1" x14ac:dyDescent="0.2">
      <c r="A40" s="5" t="s">
        <v>153</v>
      </c>
      <c r="B40" s="8"/>
      <c r="C40" s="8"/>
      <c r="D40" s="131"/>
      <c r="E40" s="1" t="s">
        <v>9</v>
      </c>
      <c r="G40" s="61"/>
      <c r="H40" s="19"/>
      <c r="I40" s="19"/>
    </row>
    <row r="41" spans="1:14" ht="15" customHeight="1" x14ac:dyDescent="0.2">
      <c r="A41" s="5" t="s">
        <v>18</v>
      </c>
      <c r="B41" s="8"/>
      <c r="C41" s="8"/>
      <c r="D41" s="132"/>
      <c r="E41" s="1" t="s">
        <v>9</v>
      </c>
      <c r="G41" s="61"/>
      <c r="H41" s="19"/>
      <c r="I41" s="19"/>
      <c r="N41" s="90"/>
    </row>
    <row r="42" spans="1:14" ht="15" customHeight="1" thickBot="1" x14ac:dyDescent="0.25">
      <c r="A42" s="5" t="s">
        <v>19</v>
      </c>
      <c r="B42" s="8"/>
      <c r="C42" s="8"/>
      <c r="D42" s="133"/>
      <c r="E42" s="1" t="s">
        <v>9</v>
      </c>
      <c r="G42" s="61"/>
    </row>
    <row r="43" spans="1:14" ht="15" customHeight="1" x14ac:dyDescent="0.2">
      <c r="A43" s="5"/>
      <c r="B43" s="8"/>
      <c r="C43" s="8"/>
      <c r="D43" s="134"/>
    </row>
    <row r="44" spans="1:14" ht="15.75" customHeight="1" x14ac:dyDescent="0.2">
      <c r="A44" s="3" t="s">
        <v>170</v>
      </c>
      <c r="B44" s="8"/>
      <c r="C44" s="8"/>
      <c r="D44" s="135"/>
      <c r="E44" s="9"/>
    </row>
    <row r="45" spans="1:14" ht="15" customHeight="1" x14ac:dyDescent="0.2">
      <c r="A45" s="5"/>
      <c r="B45" s="8"/>
      <c r="C45" s="8"/>
      <c r="D45" s="135"/>
    </row>
    <row r="46" spans="1:14" ht="15" customHeight="1" thickBot="1" x14ac:dyDescent="0.25">
      <c r="A46" s="64" t="s">
        <v>177</v>
      </c>
      <c r="B46" s="8"/>
      <c r="C46" s="8"/>
      <c r="D46" s="135"/>
    </row>
    <row r="47" spans="1:14" ht="15" customHeight="1" thickBot="1" x14ac:dyDescent="0.25">
      <c r="A47" s="5" t="s">
        <v>172</v>
      </c>
      <c r="B47" s="8"/>
      <c r="C47" s="8"/>
      <c r="D47" s="116"/>
      <c r="E47" s="151" t="s">
        <v>212</v>
      </c>
      <c r="F47" s="59"/>
      <c r="G47" s="95">
        <f>G39*D47</f>
        <v>0</v>
      </c>
      <c r="H47" s="5" t="s">
        <v>9</v>
      </c>
    </row>
    <row r="48" spans="1:14" ht="15" customHeight="1" x14ac:dyDescent="0.2">
      <c r="A48" s="5"/>
      <c r="B48" s="8"/>
      <c r="C48" s="8"/>
      <c r="D48" s="4"/>
      <c r="F48" s="5"/>
      <c r="G48" s="5"/>
    </row>
    <row r="49" spans="1:10" ht="22.5" customHeight="1" x14ac:dyDescent="0.2">
      <c r="A49" s="65" t="s">
        <v>269</v>
      </c>
      <c r="B49" s="66"/>
      <c r="C49" s="66"/>
      <c r="D49" s="67"/>
      <c r="E49" s="68"/>
      <c r="F49" s="69"/>
      <c r="G49" s="78"/>
      <c r="H49" s="68"/>
      <c r="I49" s="68"/>
      <c r="J49" s="68"/>
    </row>
    <row r="50" spans="1:10" ht="13.5" thickBot="1" x14ac:dyDescent="0.25">
      <c r="B50" s="4"/>
      <c r="C50" s="4"/>
      <c r="D50" s="4"/>
      <c r="F50" s="5"/>
      <c r="G50" s="5"/>
    </row>
    <row r="51" spans="1:10" ht="12.75" customHeight="1" x14ac:dyDescent="0.2">
      <c r="A51" s="319" t="s">
        <v>181</v>
      </c>
      <c r="B51" s="292" t="s">
        <v>183</v>
      </c>
      <c r="C51" s="313" t="s">
        <v>263</v>
      </c>
      <c r="D51" s="315" t="s">
        <v>264</v>
      </c>
    </row>
    <row r="52" spans="1:10" x14ac:dyDescent="0.2">
      <c r="A52" s="320"/>
      <c r="B52" s="293"/>
      <c r="C52" s="314"/>
      <c r="D52" s="316"/>
    </row>
    <row r="53" spans="1:10" x14ac:dyDescent="0.2">
      <c r="A53" s="321"/>
      <c r="B53" s="294"/>
      <c r="C53" s="314"/>
      <c r="D53" s="316"/>
    </row>
    <row r="54" spans="1:10" x14ac:dyDescent="0.2">
      <c r="A54" s="74" t="s">
        <v>4</v>
      </c>
      <c r="B54" s="143"/>
      <c r="C54" s="272">
        <f>$G$34*(1+0)</f>
        <v>458.33600296952079</v>
      </c>
      <c r="D54" s="273">
        <f>C54-$G$34</f>
        <v>0</v>
      </c>
    </row>
    <row r="55" spans="1:10" x14ac:dyDescent="0.2">
      <c r="A55" s="74" t="s">
        <v>5</v>
      </c>
      <c r="B55" s="143"/>
      <c r="C55" s="272">
        <f>$G$34*(1+0)</f>
        <v>458.33600296952079</v>
      </c>
      <c r="D55" s="273">
        <f>C55-$G$34</f>
        <v>0</v>
      </c>
    </row>
    <row r="56" spans="1:10" x14ac:dyDescent="0.2">
      <c r="A56" s="74" t="s">
        <v>6</v>
      </c>
      <c r="B56" s="143"/>
      <c r="C56" s="272">
        <f>$G$34*(1+0.007)</f>
        <v>461.5443549903074</v>
      </c>
      <c r="D56" s="273">
        <f>C56-$G$34</f>
        <v>3.2083520207866059</v>
      </c>
    </row>
    <row r="57" spans="1:10" x14ac:dyDescent="0.2">
      <c r="A57" s="74" t="s">
        <v>7</v>
      </c>
      <c r="B57" s="143"/>
      <c r="C57" s="272">
        <f>$G$34*(1+0.026)</f>
        <v>470.25273904672832</v>
      </c>
      <c r="D57" s="273">
        <f>C57-$G$34</f>
        <v>11.916736077207531</v>
      </c>
    </row>
    <row r="58" spans="1:10" x14ac:dyDescent="0.2">
      <c r="A58" s="74" t="s">
        <v>8</v>
      </c>
      <c r="B58" s="144"/>
      <c r="C58" s="272">
        <f>$G$34*(1+0.061)</f>
        <v>486.29449915066152</v>
      </c>
      <c r="D58" s="273">
        <f>C58-$G$34</f>
        <v>27.958496181140731</v>
      </c>
      <c r="E58" s="169"/>
      <c r="F58" s="169"/>
    </row>
    <row r="59" spans="1:10" ht="13.5" thickBot="1" x14ac:dyDescent="0.25">
      <c r="A59" s="75" t="s">
        <v>182</v>
      </c>
      <c r="B59" s="76">
        <f>SUM(B54:B58)</f>
        <v>0</v>
      </c>
      <c r="C59" s="274"/>
      <c r="D59" s="275">
        <f>IF(B59=0,0,SUMPRODUCT(D54:D58,B54:B58)/B59)</f>
        <v>0</v>
      </c>
      <c r="E59" s="169" t="s">
        <v>277</v>
      </c>
      <c r="F59" s="169"/>
    </row>
    <row r="60" spans="1:10" x14ac:dyDescent="0.2">
      <c r="A60" s="16"/>
      <c r="B60" s="16"/>
      <c r="C60" s="16"/>
      <c r="D60" s="72"/>
      <c r="E60" s="16"/>
    </row>
    <row r="61" spans="1:10" s="7" customFormat="1" ht="22.5" customHeight="1" x14ac:dyDescent="0.2">
      <c r="A61" s="84" t="s">
        <v>3</v>
      </c>
      <c r="B61" s="85"/>
      <c r="C61" s="85"/>
      <c r="D61" s="86"/>
      <c r="E61" s="85"/>
      <c r="F61" s="87"/>
      <c r="G61" s="87"/>
      <c r="H61" s="87"/>
      <c r="I61" s="87"/>
      <c r="J61" s="87"/>
    </row>
    <row r="62" spans="1:10" ht="13.5" thickBot="1" x14ac:dyDescent="0.25">
      <c r="A62" s="16"/>
      <c r="B62" s="16"/>
      <c r="C62" s="16"/>
      <c r="D62" s="72"/>
      <c r="E62" s="16"/>
    </row>
    <row r="63" spans="1:10" x14ac:dyDescent="0.2">
      <c r="A63" s="5" t="s">
        <v>175</v>
      </c>
      <c r="D63" s="99">
        <f>(G14+G22+G26)*D14</f>
        <v>458.33600296952079</v>
      </c>
      <c r="E63" s="1" t="s">
        <v>9</v>
      </c>
      <c r="F63" s="14"/>
      <c r="G63" s="105"/>
    </row>
    <row r="64" spans="1:10" x14ac:dyDescent="0.2">
      <c r="A64" s="5" t="s">
        <v>231</v>
      </c>
      <c r="D64" s="161">
        <f>(G31)*D14+D59</f>
        <v>0</v>
      </c>
      <c r="E64" s="1" t="s">
        <v>9</v>
      </c>
      <c r="F64" s="14"/>
      <c r="G64" s="105"/>
    </row>
    <row r="65" spans="1:8" x14ac:dyDescent="0.2">
      <c r="A65" s="5" t="s">
        <v>176</v>
      </c>
      <c r="D65" s="100">
        <f>G39</f>
        <v>0</v>
      </c>
      <c r="E65" s="1" t="s">
        <v>9</v>
      </c>
      <c r="F65" s="14"/>
      <c r="G65" s="105"/>
    </row>
    <row r="66" spans="1:8" x14ac:dyDescent="0.2">
      <c r="A66" s="5" t="s">
        <v>232</v>
      </c>
      <c r="D66" s="162">
        <f>G47</f>
        <v>0</v>
      </c>
      <c r="E66" s="1" t="s">
        <v>9</v>
      </c>
      <c r="F66" s="14"/>
      <c r="G66" s="105"/>
    </row>
    <row r="67" spans="1:8" ht="13.5" thickBot="1" x14ac:dyDescent="0.25">
      <c r="A67" s="64" t="s">
        <v>3</v>
      </c>
      <c r="D67" s="101">
        <f>SUM(D63:D66)</f>
        <v>458.33600296952079</v>
      </c>
      <c r="E67" s="56" t="s">
        <v>9</v>
      </c>
      <c r="F67" s="14"/>
      <c r="G67" s="105"/>
    </row>
    <row r="68" spans="1:8" ht="13.5" thickBot="1" x14ac:dyDescent="0.25">
      <c r="A68" s="5"/>
      <c r="D68" s="5"/>
      <c r="F68" s="14"/>
      <c r="G68" s="105"/>
    </row>
    <row r="69" spans="1:8" x14ac:dyDescent="0.2">
      <c r="A69" s="80" t="s">
        <v>270</v>
      </c>
      <c r="D69" s="99">
        <f>B59</f>
        <v>0</v>
      </c>
      <c r="E69" s="1" t="s">
        <v>10</v>
      </c>
      <c r="F69" s="14"/>
      <c r="G69" s="105"/>
    </row>
    <row r="70" spans="1:8" x14ac:dyDescent="0.2">
      <c r="A70" s="51" t="s">
        <v>71</v>
      </c>
      <c r="D70" s="145">
        <v>0.9</v>
      </c>
      <c r="F70" s="14"/>
      <c r="G70" s="105"/>
    </row>
    <row r="71" spans="1:8" x14ac:dyDescent="0.2">
      <c r="A71" s="5" t="s">
        <v>179</v>
      </c>
      <c r="D71" s="106">
        <f>(D63+D64)*D69*D70</f>
        <v>0</v>
      </c>
      <c r="E71" s="1" t="s">
        <v>11</v>
      </c>
      <c r="F71" s="14"/>
      <c r="G71" s="5"/>
    </row>
    <row r="72" spans="1:8" x14ac:dyDescent="0.2">
      <c r="A72" s="13" t="s">
        <v>180</v>
      </c>
      <c r="D72" s="106">
        <f>(D65+D66)*D69*D70</f>
        <v>0</v>
      </c>
      <c r="E72" s="1" t="s">
        <v>11</v>
      </c>
      <c r="F72" s="14"/>
      <c r="G72" s="5"/>
    </row>
    <row r="73" spans="1:8" ht="13.5" thickBot="1" x14ac:dyDescent="0.25">
      <c r="A73" s="64" t="s">
        <v>152</v>
      </c>
      <c r="D73" s="103">
        <f>D67*D69*D70</f>
        <v>0</v>
      </c>
      <c r="E73" s="7" t="s">
        <v>11</v>
      </c>
      <c r="F73" s="14"/>
      <c r="G73" s="5"/>
    </row>
    <row r="74" spans="1:8" x14ac:dyDescent="0.2">
      <c r="F74" s="14"/>
      <c r="G74" s="5"/>
    </row>
    <row r="75" spans="1:8" x14ac:dyDescent="0.2">
      <c r="F75" s="14"/>
      <c r="G75" s="5"/>
    </row>
    <row r="76" spans="1:8" ht="12.75" customHeight="1" x14ac:dyDescent="0.2">
      <c r="A76" s="280" t="s">
        <v>24</v>
      </c>
      <c r="B76" s="280"/>
      <c r="C76" s="280"/>
      <c r="D76" s="280"/>
      <c r="F76" s="14"/>
      <c r="G76" s="5"/>
    </row>
    <row r="77" spans="1:8" x14ac:dyDescent="0.2">
      <c r="A77" s="280"/>
      <c r="B77" s="280"/>
      <c r="C77" s="280"/>
      <c r="D77" s="280"/>
      <c r="F77" s="14"/>
      <c r="G77" s="5"/>
    </row>
    <row r="78" spans="1:8" x14ac:dyDescent="0.2">
      <c r="A78" s="280"/>
      <c r="B78" s="280"/>
      <c r="C78" s="280"/>
      <c r="D78" s="280"/>
      <c r="F78" s="14"/>
      <c r="G78" s="5"/>
    </row>
    <row r="79" spans="1:8" ht="25.5" customHeight="1" x14ac:dyDescent="0.2">
      <c r="A79" s="280"/>
      <c r="B79" s="280"/>
      <c r="C79" s="280"/>
      <c r="D79" s="280"/>
      <c r="E79" s="157"/>
      <c r="F79" s="157"/>
      <c r="G79" s="157"/>
      <c r="H79" s="157"/>
    </row>
    <row r="80" spans="1:8" ht="18.75" customHeight="1" x14ac:dyDescent="0.2">
      <c r="A80" s="282"/>
      <c r="B80" s="282"/>
      <c r="C80" s="282"/>
      <c r="D80" s="282"/>
    </row>
    <row r="81" spans="1:8" x14ac:dyDescent="0.2">
      <c r="A81" s="1" t="s">
        <v>0</v>
      </c>
      <c r="D81" s="10" t="s">
        <v>2</v>
      </c>
    </row>
    <row r="82" spans="1:8" ht="18.75" customHeight="1" x14ac:dyDescent="0.2">
      <c r="A82" s="11"/>
      <c r="B82" s="11"/>
      <c r="C82" s="11"/>
      <c r="D82" s="11"/>
    </row>
    <row r="83" spans="1:8" x14ac:dyDescent="0.2">
      <c r="A83" s="1" t="s">
        <v>1</v>
      </c>
      <c r="H83" s="57" t="s">
        <v>288</v>
      </c>
    </row>
  </sheetData>
  <sheetProtection algorithmName="SHA-512" hashValue="4rUr38zlif/c69uppJFVLOe13hP8IBMAVKCsxkMRV4JMwF4DVEGNZ0hRcoRlqjAdu/jH0lf0AzOywgORS8IKDg==" saltValue="2WWtw1TYS2/1oefJiiW3PA==" spinCount="100000" sheet="1" objects="1" scenarios="1"/>
  <mergeCells count="14">
    <mergeCell ref="A80:D80"/>
    <mergeCell ref="C51:C53"/>
    <mergeCell ref="D51:D53"/>
    <mergeCell ref="A76:D79"/>
    <mergeCell ref="D2:I2"/>
    <mergeCell ref="D7:E7"/>
    <mergeCell ref="H4:I4"/>
    <mergeCell ref="A51:A53"/>
    <mergeCell ref="B51:B53"/>
    <mergeCell ref="D9:E9"/>
    <mergeCell ref="A4:B4"/>
    <mergeCell ref="D4:F4"/>
    <mergeCell ref="D8:E8"/>
    <mergeCell ref="D6:E6"/>
  </mergeCells>
  <phoneticPr fontId="8" type="noConversion"/>
  <dataValidations count="8">
    <dataValidation type="decimal" allowBlank="1" showInputMessage="1" showErrorMessage="1" errorTitle="Valeur autorisée" error="Vous devez saisir une valeur comprise entre 0 et 3.2%" sqref="D31">
      <formula1>0</formula1>
      <formula2>0.032</formula2>
    </dataValidation>
    <dataValidation type="decimal" allowBlank="1" showInputMessage="1" showErrorMessage="1" errorTitle="Valeur autorisée" error="Vous devez saisir une valeur comprise 0 et 1,2%" sqref="D47">
      <formula1>0</formula1>
      <formula2>0.012</formula2>
    </dataValidation>
    <dataValidation type="list" allowBlank="1" showInputMessage="1" showErrorMessage="1" sqref="D70">
      <formula1>Investissement</formula1>
    </dataValidation>
    <dataValidation type="list" allowBlank="1" showInputMessage="1" showErrorMessage="1" sqref="D39">
      <formula1>Sup</formula1>
    </dataValidation>
    <dataValidation type="list" allowBlank="1" showInputMessage="1" showErrorMessage="1" sqref="D40">
      <formula1>Qualite</formula1>
    </dataValidation>
    <dataValidation type="list" allowBlank="1" showInputMessage="1" showErrorMessage="1" sqref="D41">
      <formula1>InvAT</formula1>
    </dataValidation>
    <dataValidation type="list" allowBlank="1" showInputMessage="1" showErrorMessage="1" sqref="D42">
      <formula1>Rapport</formula1>
    </dataValidation>
    <dataValidation type="decimal" operator="greaterThanOrEqual" allowBlank="1" showInputMessage="1" showErrorMessage="1" errorTitle="Valeur autorisée" error="Vous devez saisir une valeur positive" sqref="D26">
      <formula1>0</formula1>
    </dataValidation>
  </dataValidations>
  <printOptions horizontalCentered="1"/>
  <pageMargins left="0" right="0" top="0" bottom="0" header="0.51181102362204722" footer="0.51181102362204722"/>
  <pageSetup paperSize="5" scale="76" orientation="portrait" r:id="rId1"/>
  <headerFooter alignWithMargins="0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O78"/>
  <sheetViews>
    <sheetView showGridLines="0" zoomScaleNormal="100" workbookViewId="0">
      <selection activeCell="A4" sqref="A4:B4"/>
    </sheetView>
  </sheetViews>
  <sheetFormatPr baseColWidth="10" defaultColWidth="11.42578125" defaultRowHeight="12.75" x14ac:dyDescent="0.2"/>
  <cols>
    <col min="1" max="1" width="11.42578125" style="1"/>
    <col min="2" max="2" width="13.28515625" style="1" customWidth="1"/>
    <col min="3" max="4" width="11.42578125" style="1"/>
    <col min="5" max="5" width="8.28515625" style="1" customWidth="1"/>
    <col min="6" max="6" width="39.140625" style="1" customWidth="1"/>
    <col min="7" max="7" width="5.28515625" style="1" customWidth="1"/>
    <col min="8" max="8" width="12.140625" style="1" customWidth="1"/>
    <col min="9" max="9" width="14.42578125" style="1" customWidth="1"/>
    <col min="10" max="10" width="6.5703125" style="1" customWidth="1"/>
    <col min="11" max="11" width="1.85546875" style="19" customWidth="1"/>
    <col min="12" max="16384" width="11.42578125" style="1"/>
  </cols>
  <sheetData>
    <row r="1" spans="1:12" s="2" customFormat="1" ht="21.75" customHeight="1" x14ac:dyDescent="0.2">
      <c r="A1" s="22"/>
      <c r="B1" s="22"/>
      <c r="C1" s="22"/>
      <c r="D1" s="22"/>
      <c r="E1" s="22"/>
      <c r="F1" s="22"/>
      <c r="G1" s="22"/>
      <c r="H1" s="22"/>
      <c r="K1" s="271"/>
    </row>
    <row r="2" spans="1:12" s="2" customFormat="1" ht="101.25" customHeight="1" x14ac:dyDescent="0.2">
      <c r="A2" s="22"/>
      <c r="B2" s="22"/>
      <c r="C2" s="22"/>
      <c r="D2" s="310" t="s">
        <v>271</v>
      </c>
      <c r="E2" s="310"/>
      <c r="F2" s="310"/>
      <c r="G2" s="310"/>
      <c r="H2" s="310"/>
      <c r="I2" s="310"/>
      <c r="J2" s="310"/>
      <c r="K2" s="163"/>
    </row>
    <row r="4" spans="1:12" s="2" customFormat="1" ht="71.45" customHeight="1" x14ac:dyDescent="0.2">
      <c r="A4" s="312" t="s">
        <v>278</v>
      </c>
      <c r="B4" s="312"/>
      <c r="C4" s="17"/>
      <c r="D4" s="312" t="s">
        <v>198</v>
      </c>
      <c r="E4" s="312"/>
      <c r="F4" s="312"/>
      <c r="G4" s="312"/>
      <c r="H4" s="18"/>
      <c r="I4" s="312" t="s">
        <v>21</v>
      </c>
      <c r="J4" s="312"/>
      <c r="K4" s="271"/>
    </row>
    <row r="6" spans="1:12" x14ac:dyDescent="0.2">
      <c r="A6" s="1" t="s">
        <v>287</v>
      </c>
      <c r="D6" s="317"/>
      <c r="E6" s="318"/>
    </row>
    <row r="7" spans="1:12" x14ac:dyDescent="0.2">
      <c r="A7" s="1" t="s">
        <v>13</v>
      </c>
      <c r="D7" s="305"/>
      <c r="E7" s="305"/>
    </row>
    <row r="8" spans="1:12" x14ac:dyDescent="0.2">
      <c r="A8" s="1" t="s">
        <v>14</v>
      </c>
      <c r="D8" s="305"/>
      <c r="E8" s="305"/>
    </row>
    <row r="9" spans="1:12" x14ac:dyDescent="0.2">
      <c r="A9" s="1" t="s">
        <v>234</v>
      </c>
      <c r="D9" s="308"/>
      <c r="E9" s="309"/>
    </row>
    <row r="10" spans="1:12" x14ac:dyDescent="0.2">
      <c r="D10" s="15"/>
      <c r="E10" s="15"/>
    </row>
    <row r="11" spans="1:12" ht="22.5" customHeight="1" x14ac:dyDescent="0.2">
      <c r="A11" s="70" t="s">
        <v>175</v>
      </c>
      <c r="B11" s="68"/>
      <c r="C11" s="68"/>
      <c r="D11" s="68"/>
      <c r="E11" s="164"/>
      <c r="F11" s="68"/>
      <c r="G11" s="68"/>
      <c r="H11" s="68"/>
      <c r="I11" s="68"/>
      <c r="J11" s="68"/>
    </row>
    <row r="12" spans="1:12" ht="15" customHeight="1" x14ac:dyDescent="0.2">
      <c r="A12" s="82"/>
      <c r="B12" s="19"/>
      <c r="C12" s="19"/>
      <c r="D12" s="165" t="s">
        <v>162</v>
      </c>
      <c r="E12" s="15"/>
      <c r="F12" s="19"/>
      <c r="G12" s="19"/>
      <c r="H12" s="83" t="s">
        <v>20</v>
      </c>
      <c r="I12" s="19"/>
      <c r="J12" s="19"/>
    </row>
    <row r="13" spans="1:12" ht="15.75" customHeight="1" thickBot="1" x14ac:dyDescent="0.25">
      <c r="A13" s="3" t="s">
        <v>174</v>
      </c>
      <c r="F13" s="3"/>
      <c r="G13" s="3"/>
    </row>
    <row r="14" spans="1:12" ht="15" customHeight="1" thickBot="1" x14ac:dyDescent="0.25">
      <c r="A14" s="1" t="s">
        <v>237</v>
      </c>
      <c r="D14" s="146">
        <v>62</v>
      </c>
      <c r="E14" s="1" t="s">
        <v>163</v>
      </c>
      <c r="H14" s="93">
        <f xml:space="preserve"> (-0.018*$D14 + 311.6/$D14 + 3.92*EXP(-0.0069*$D14)-0.31) + EXP(2.239-0.391*LN(D16))  - (EXP(1.978-0.391*LN(D15)))</f>
        <v>7.8391959790162282</v>
      </c>
      <c r="I14" s="6" t="s">
        <v>167</v>
      </c>
      <c r="L14" s="10"/>
    </row>
    <row r="15" spans="1:12" ht="15" customHeight="1" x14ac:dyDescent="0.2">
      <c r="A15" s="1" t="s">
        <v>164</v>
      </c>
      <c r="D15" s="147">
        <v>0.17</v>
      </c>
      <c r="E15" s="1" t="s">
        <v>165</v>
      </c>
      <c r="H15" s="166"/>
      <c r="I15" s="6"/>
    </row>
    <row r="16" spans="1:12" ht="15" customHeight="1" thickBot="1" x14ac:dyDescent="0.25">
      <c r="A16" s="1" t="s">
        <v>185</v>
      </c>
      <c r="D16" s="153">
        <v>0.25</v>
      </c>
      <c r="E16" s="1" t="s">
        <v>165</v>
      </c>
      <c r="H16" s="14"/>
      <c r="I16" s="6"/>
    </row>
    <row r="17" spans="1:11" ht="15" customHeight="1" x14ac:dyDescent="0.2">
      <c r="D17" s="113"/>
      <c r="E17" s="4"/>
      <c r="I17" s="4"/>
      <c r="J17" s="4"/>
    </row>
    <row r="18" spans="1:11" ht="15.75" customHeight="1" x14ac:dyDescent="0.2">
      <c r="A18" s="3" t="s">
        <v>170</v>
      </c>
      <c r="D18" s="113"/>
      <c r="E18" s="4"/>
      <c r="I18" s="4"/>
      <c r="J18" s="4"/>
    </row>
    <row r="19" spans="1:11" s="57" customFormat="1" ht="15" customHeight="1" x14ac:dyDescent="0.2">
      <c r="D19" s="12"/>
      <c r="E19" s="58"/>
      <c r="I19" s="58"/>
      <c r="J19" s="58"/>
      <c r="K19" s="231"/>
    </row>
    <row r="20" spans="1:11" ht="15" customHeight="1" thickBot="1" x14ac:dyDescent="0.25">
      <c r="A20" s="56" t="s">
        <v>171</v>
      </c>
      <c r="B20" s="8"/>
      <c r="C20" s="8"/>
      <c r="D20" s="114"/>
      <c r="F20" s="55"/>
      <c r="G20" s="55"/>
      <c r="H20" s="55"/>
      <c r="I20" s="16"/>
    </row>
    <row r="21" spans="1:11" ht="15" customHeight="1" thickBot="1" x14ac:dyDescent="0.25">
      <c r="A21" s="5" t="s">
        <v>15</v>
      </c>
      <c r="B21" s="8"/>
      <c r="C21" s="8"/>
      <c r="D21" s="149"/>
      <c r="E21" s="1" t="s">
        <v>16</v>
      </c>
      <c r="F21" s="54"/>
      <c r="G21" s="54"/>
      <c r="H21" s="93">
        <f>IF(D21=0,0,10000*D21^-1*108.9/1000/D14)</f>
        <v>0</v>
      </c>
      <c r="I21" s="16" t="s">
        <v>167</v>
      </c>
    </row>
    <row r="22" spans="1:11" ht="15" customHeight="1" x14ac:dyDescent="0.2">
      <c r="A22" s="5"/>
      <c r="B22" s="8"/>
      <c r="C22" s="8"/>
      <c r="D22" s="115"/>
      <c r="F22" s="16"/>
      <c r="G22" s="16"/>
      <c r="H22" s="15"/>
      <c r="I22" s="16"/>
    </row>
    <row r="23" spans="1:11" ht="15" customHeight="1" thickBot="1" x14ac:dyDescent="0.25">
      <c r="A23" s="56" t="s">
        <v>173</v>
      </c>
      <c r="B23" s="8"/>
      <c r="C23" s="8"/>
      <c r="D23" s="114"/>
    </row>
    <row r="24" spans="1:11" ht="15" thickBot="1" x14ac:dyDescent="0.25">
      <c r="A24" s="5" t="s">
        <v>172</v>
      </c>
      <c r="B24" s="8"/>
      <c r="C24" s="8"/>
      <c r="D24" s="116"/>
      <c r="E24" s="150" t="s">
        <v>212</v>
      </c>
      <c r="F24" s="59"/>
      <c r="G24" s="59"/>
      <c r="H24" s="95">
        <f>(H14+H21)*D24</f>
        <v>0</v>
      </c>
      <c r="I24" s="5" t="s">
        <v>167</v>
      </c>
    </row>
    <row r="25" spans="1:11" ht="13.5" thickBot="1" x14ac:dyDescent="0.25">
      <c r="A25" s="5"/>
      <c r="B25" s="8"/>
      <c r="C25" s="8"/>
      <c r="D25" s="170"/>
      <c r="E25" s="92"/>
      <c r="F25" s="59"/>
      <c r="G25" s="59"/>
      <c r="H25" s="79"/>
      <c r="I25" s="5"/>
    </row>
    <row r="26" spans="1:11" ht="14.25" x14ac:dyDescent="0.2">
      <c r="A26" s="5"/>
      <c r="B26" s="8"/>
      <c r="C26" s="8"/>
      <c r="D26" s="170"/>
      <c r="F26" s="344" t="s">
        <v>178</v>
      </c>
      <c r="G26" s="345"/>
      <c r="H26" s="96">
        <f>(H14+H21+H24)</f>
        <v>7.8391959790162282</v>
      </c>
      <c r="I26" s="5" t="s">
        <v>167</v>
      </c>
    </row>
    <row r="27" spans="1:11" ht="13.5" thickBot="1" x14ac:dyDescent="0.25">
      <c r="A27" s="5"/>
      <c r="B27" s="8"/>
      <c r="C27" s="8"/>
      <c r="D27" s="170"/>
      <c r="F27" s="346" t="s">
        <v>178</v>
      </c>
      <c r="G27" s="347"/>
      <c r="H27" s="97">
        <f>H26*D14</f>
        <v>486.03015069900613</v>
      </c>
      <c r="I27" s="5" t="s">
        <v>9</v>
      </c>
    </row>
    <row r="28" spans="1:11" ht="15" customHeight="1" x14ac:dyDescent="0.2">
      <c r="A28" s="5"/>
      <c r="B28" s="8"/>
      <c r="C28" s="8"/>
      <c r="D28" s="114"/>
      <c r="H28" s="53"/>
    </row>
    <row r="29" spans="1:11" ht="22.5" customHeight="1" x14ac:dyDescent="0.2">
      <c r="A29" s="65" t="s">
        <v>176</v>
      </c>
      <c r="B29" s="66"/>
      <c r="C29" s="66"/>
      <c r="D29" s="171"/>
      <c r="E29" s="164"/>
      <c r="F29" s="68"/>
      <c r="G29" s="68"/>
      <c r="H29" s="77"/>
      <c r="I29" s="68"/>
      <c r="J29" s="68"/>
    </row>
    <row r="30" spans="1:11" ht="15" customHeight="1" x14ac:dyDescent="0.2">
      <c r="A30" s="5"/>
      <c r="B30" s="8"/>
      <c r="C30" s="8"/>
      <c r="D30" s="172" t="s">
        <v>162</v>
      </c>
      <c r="E30" s="15"/>
      <c r="F30" s="19"/>
      <c r="G30" s="19"/>
      <c r="H30" s="83" t="s">
        <v>20</v>
      </c>
    </row>
    <row r="31" spans="1:11" ht="15.75" customHeight="1" thickBot="1" x14ac:dyDescent="0.25">
      <c r="A31" s="3" t="s">
        <v>186</v>
      </c>
      <c r="D31" s="129"/>
      <c r="H31" s="20"/>
    </row>
    <row r="32" spans="1:11" ht="15" customHeight="1" thickBot="1" x14ac:dyDescent="0.25">
      <c r="A32" s="5" t="s">
        <v>17</v>
      </c>
      <c r="B32" s="8"/>
      <c r="C32" s="8"/>
      <c r="D32" s="130"/>
      <c r="E32" s="1" t="s">
        <v>9</v>
      </c>
      <c r="F32" s="1" t="str">
        <f>IF(19.1&gt;D32,"","Taux inscrit plus élevé que maximum autorisé")</f>
        <v/>
      </c>
      <c r="H32" s="98">
        <f>SUM(D32:D35)</f>
        <v>0</v>
      </c>
      <c r="I32" s="19" t="s">
        <v>9</v>
      </c>
      <c r="J32" s="19"/>
    </row>
    <row r="33" spans="1:15" ht="15" customHeight="1" x14ac:dyDescent="0.2">
      <c r="A33" s="5" t="s">
        <v>153</v>
      </c>
      <c r="B33" s="8"/>
      <c r="C33" s="8"/>
      <c r="D33" s="131"/>
      <c r="E33" s="1" t="s">
        <v>9</v>
      </c>
      <c r="F33" s="1" t="str">
        <f>IF(8.1&gt;D33,"","Taux inscrit plus élevé que maximum autorisé")</f>
        <v/>
      </c>
      <c r="H33" s="61"/>
      <c r="I33" s="19"/>
      <c r="J33" s="19"/>
    </row>
    <row r="34" spans="1:15" ht="15" customHeight="1" x14ac:dyDescent="0.2">
      <c r="A34" s="5" t="s">
        <v>18</v>
      </c>
      <c r="B34" s="8"/>
      <c r="C34" s="8"/>
      <c r="D34" s="132"/>
      <c r="E34" s="1" t="s">
        <v>9</v>
      </c>
      <c r="F34" s="1" t="str">
        <f>IF(8.1&gt;D34,"","Taux inscrit plus élevé que maximum autorisé")</f>
        <v/>
      </c>
      <c r="H34" s="61"/>
      <c r="I34" s="19"/>
      <c r="J34" s="19"/>
      <c r="O34" s="90"/>
    </row>
    <row r="35" spans="1:15" ht="15" customHeight="1" thickBot="1" x14ac:dyDescent="0.25">
      <c r="A35" s="5" t="s">
        <v>19</v>
      </c>
      <c r="B35" s="8"/>
      <c r="C35" s="8"/>
      <c r="D35" s="133"/>
      <c r="E35" s="1" t="s">
        <v>9</v>
      </c>
      <c r="F35" s="1" t="str">
        <f>IF(8.1&gt;D35,"","Taux inscrit plus élevé que maximum autorisé")</f>
        <v/>
      </c>
      <c r="H35" s="61"/>
    </row>
    <row r="36" spans="1:15" ht="15" customHeight="1" x14ac:dyDescent="0.2">
      <c r="A36" s="5"/>
      <c r="B36" s="8"/>
      <c r="C36" s="8"/>
      <c r="D36" s="134"/>
    </row>
    <row r="37" spans="1:15" ht="15.75" customHeight="1" x14ac:dyDescent="0.2">
      <c r="A37" s="3" t="s">
        <v>170</v>
      </c>
      <c r="B37" s="8"/>
      <c r="C37" s="8"/>
      <c r="D37" s="135"/>
      <c r="E37" s="9"/>
    </row>
    <row r="38" spans="1:15" ht="15" customHeight="1" x14ac:dyDescent="0.2">
      <c r="A38" s="5"/>
      <c r="B38" s="8"/>
      <c r="C38" s="8"/>
      <c r="D38" s="135"/>
    </row>
    <row r="39" spans="1:15" ht="15" customHeight="1" thickBot="1" x14ac:dyDescent="0.25">
      <c r="A39" s="64" t="s">
        <v>177</v>
      </c>
      <c r="B39" s="8"/>
      <c r="C39" s="8"/>
      <c r="D39" s="135"/>
    </row>
    <row r="40" spans="1:15" ht="15" customHeight="1" thickBot="1" x14ac:dyDescent="0.25">
      <c r="A40" s="5" t="s">
        <v>172</v>
      </c>
      <c r="B40" s="8"/>
      <c r="C40" s="8"/>
      <c r="D40" s="116"/>
      <c r="E40" s="1" t="s">
        <v>212</v>
      </c>
      <c r="F40" s="59" t="str">
        <f>IF(0.0121&gt;D40,"","Taux inscrit plus élevé que maximum autorisé")</f>
        <v/>
      </c>
      <c r="G40" s="59"/>
      <c r="H40" s="95">
        <f>H32*D40</f>
        <v>0</v>
      </c>
      <c r="I40" s="5" t="s">
        <v>9</v>
      </c>
    </row>
    <row r="41" spans="1:15" ht="15" customHeight="1" x14ac:dyDescent="0.2">
      <c r="A41" s="5"/>
      <c r="B41" s="8"/>
      <c r="C41" s="8"/>
      <c r="D41" s="4"/>
      <c r="F41" s="5"/>
      <c r="G41" s="5"/>
      <c r="H41" s="5"/>
    </row>
    <row r="42" spans="1:15" ht="22.5" customHeight="1" x14ac:dyDescent="0.2">
      <c r="A42" s="65" t="s">
        <v>269</v>
      </c>
      <c r="B42" s="66"/>
      <c r="C42" s="66"/>
      <c r="D42" s="67"/>
      <c r="E42" s="68"/>
      <c r="F42" s="69"/>
      <c r="G42" s="69"/>
      <c r="H42" s="78"/>
      <c r="I42" s="68"/>
      <c r="J42" s="68"/>
    </row>
    <row r="43" spans="1:15" ht="13.5" thickBot="1" x14ac:dyDescent="0.25">
      <c r="B43" s="4"/>
      <c r="C43" s="4"/>
      <c r="D43" s="4"/>
      <c r="F43" s="5"/>
      <c r="G43" s="5"/>
      <c r="H43" s="5"/>
    </row>
    <row r="44" spans="1:15" ht="12.75" customHeight="1" x14ac:dyDescent="0.2">
      <c r="A44" s="319" t="s">
        <v>181</v>
      </c>
      <c r="B44" s="292" t="s">
        <v>183</v>
      </c>
      <c r="C44" s="313" t="s">
        <v>263</v>
      </c>
      <c r="D44" s="315" t="s">
        <v>264</v>
      </c>
    </row>
    <row r="45" spans="1:15" x14ac:dyDescent="0.2">
      <c r="A45" s="320"/>
      <c r="B45" s="293"/>
      <c r="C45" s="314"/>
      <c r="D45" s="316"/>
    </row>
    <row r="46" spans="1:15" x14ac:dyDescent="0.2">
      <c r="A46" s="321"/>
      <c r="B46" s="294"/>
      <c r="C46" s="314"/>
      <c r="D46" s="316"/>
    </row>
    <row r="47" spans="1:15" x14ac:dyDescent="0.2">
      <c r="A47" s="74" t="s">
        <v>4</v>
      </c>
      <c r="B47" s="143"/>
      <c r="C47" s="272">
        <f>$H$27*(1+0)</f>
        <v>486.03015069900613</v>
      </c>
      <c r="D47" s="273">
        <f>C47-$H$27</f>
        <v>0</v>
      </c>
    </row>
    <row r="48" spans="1:15" x14ac:dyDescent="0.2">
      <c r="A48" s="74" t="s">
        <v>5</v>
      </c>
      <c r="B48" s="143"/>
      <c r="C48" s="272">
        <f>$H$27*(1+0)</f>
        <v>486.03015069900613</v>
      </c>
      <c r="D48" s="273">
        <f>C48-$H$27</f>
        <v>0</v>
      </c>
    </row>
    <row r="49" spans="1:11" x14ac:dyDescent="0.2">
      <c r="A49" s="74" t="s">
        <v>6</v>
      </c>
      <c r="B49" s="143"/>
      <c r="C49" s="272">
        <f>$H$27*(1+0.007)</f>
        <v>489.4323617538991</v>
      </c>
      <c r="D49" s="273">
        <f>C49-$H$27</f>
        <v>3.4022110548929732</v>
      </c>
    </row>
    <row r="50" spans="1:11" x14ac:dyDescent="0.2">
      <c r="A50" s="74" t="s">
        <v>7</v>
      </c>
      <c r="B50" s="143"/>
      <c r="C50" s="272">
        <f>$H$27*(1+0.026)</f>
        <v>498.66693461718029</v>
      </c>
      <c r="D50" s="273">
        <f>C50-$H$27</f>
        <v>12.63678391817416</v>
      </c>
    </row>
    <row r="51" spans="1:11" x14ac:dyDescent="0.2">
      <c r="A51" s="74" t="s">
        <v>8</v>
      </c>
      <c r="B51" s="144"/>
      <c r="C51" s="272">
        <f>$H$27*(1+0.061)</f>
        <v>515.67798989164544</v>
      </c>
      <c r="D51" s="273">
        <f>C51-$H$27</f>
        <v>29.64783919263931</v>
      </c>
      <c r="E51" s="169"/>
      <c r="F51" s="169"/>
      <c r="G51" s="169"/>
    </row>
    <row r="52" spans="1:11" ht="13.5" thickBot="1" x14ac:dyDescent="0.25">
      <c r="A52" s="75" t="s">
        <v>182</v>
      </c>
      <c r="B52" s="76">
        <f>SUM(B47:B51)</f>
        <v>0</v>
      </c>
      <c r="C52" s="274"/>
      <c r="D52" s="275">
        <f>IF(B52=0,0,SUMPRODUCT(D47:D51,B47:B51)/B52)</f>
        <v>0</v>
      </c>
      <c r="E52" s="169" t="s">
        <v>277</v>
      </c>
      <c r="F52" s="169"/>
      <c r="G52" s="169"/>
    </row>
    <row r="53" spans="1:11" x14ac:dyDescent="0.2">
      <c r="A53" s="16"/>
      <c r="B53" s="16"/>
      <c r="C53" s="16"/>
      <c r="D53" s="72"/>
      <c r="E53" s="16"/>
    </row>
    <row r="54" spans="1:11" s="7" customFormat="1" ht="22.5" customHeight="1" x14ac:dyDescent="0.2">
      <c r="A54" s="84" t="s">
        <v>3</v>
      </c>
      <c r="B54" s="85"/>
      <c r="C54" s="85"/>
      <c r="D54" s="86"/>
      <c r="E54" s="85"/>
      <c r="F54" s="87"/>
      <c r="G54" s="87"/>
      <c r="H54" s="87"/>
      <c r="I54" s="87"/>
      <c r="J54" s="87"/>
      <c r="K54" s="124"/>
    </row>
    <row r="55" spans="1:11" ht="13.5" thickBot="1" x14ac:dyDescent="0.25">
      <c r="A55" s="16"/>
      <c r="B55" s="16"/>
      <c r="C55" s="16"/>
      <c r="D55" s="72"/>
      <c r="E55" s="16"/>
    </row>
    <row r="56" spans="1:11" x14ac:dyDescent="0.2">
      <c r="A56" s="5" t="s">
        <v>175</v>
      </c>
      <c r="D56" s="99">
        <f>H14*D14</f>
        <v>486.03015069900613</v>
      </c>
      <c r="E56" s="1" t="s">
        <v>9</v>
      </c>
      <c r="F56" s="14"/>
      <c r="G56" s="14"/>
      <c r="H56" s="105"/>
    </row>
    <row r="57" spans="1:11" x14ac:dyDescent="0.2">
      <c r="A57" s="5" t="s">
        <v>231</v>
      </c>
      <c r="D57" s="161">
        <f>(H21+H24)*D14+D52</f>
        <v>0</v>
      </c>
      <c r="E57" s="1" t="s">
        <v>9</v>
      </c>
      <c r="F57" s="14"/>
      <c r="G57" s="14"/>
      <c r="H57" s="105"/>
    </row>
    <row r="58" spans="1:11" x14ac:dyDescent="0.2">
      <c r="A58" s="5" t="s">
        <v>176</v>
      </c>
      <c r="D58" s="100">
        <f>H32</f>
        <v>0</v>
      </c>
      <c r="E58" s="1" t="s">
        <v>9</v>
      </c>
      <c r="F58" s="14"/>
      <c r="G58" s="14"/>
      <c r="H58" s="105"/>
    </row>
    <row r="59" spans="1:11" x14ac:dyDescent="0.2">
      <c r="A59" s="5" t="s">
        <v>232</v>
      </c>
      <c r="D59" s="162">
        <f>H40</f>
        <v>0</v>
      </c>
      <c r="E59" s="1" t="s">
        <v>9</v>
      </c>
      <c r="F59" s="14"/>
      <c r="G59" s="14"/>
      <c r="H59" s="105"/>
    </row>
    <row r="60" spans="1:11" ht="13.5" thickBot="1" x14ac:dyDescent="0.25">
      <c r="A60" s="64" t="s">
        <v>3</v>
      </c>
      <c r="D60" s="101">
        <f>SUM(D56:D59)</f>
        <v>486.03015069900613</v>
      </c>
      <c r="E60" s="56" t="s">
        <v>9</v>
      </c>
      <c r="F60" s="14"/>
      <c r="G60" s="14"/>
      <c r="H60" s="105"/>
    </row>
    <row r="61" spans="1:11" ht="13.5" thickBot="1" x14ac:dyDescent="0.25">
      <c r="A61" s="5"/>
      <c r="D61" s="5"/>
      <c r="F61" s="14"/>
      <c r="G61" s="14"/>
      <c r="H61" s="105"/>
    </row>
    <row r="62" spans="1:11" x14ac:dyDescent="0.2">
      <c r="A62" s="80" t="s">
        <v>270</v>
      </c>
      <c r="D62" s="99">
        <f>B52</f>
        <v>0</v>
      </c>
      <c r="E62" s="1" t="s">
        <v>10</v>
      </c>
      <c r="F62" s="14"/>
      <c r="G62" s="14"/>
      <c r="H62" s="105"/>
    </row>
    <row r="63" spans="1:11" x14ac:dyDescent="0.2">
      <c r="A63" s="51" t="s">
        <v>71</v>
      </c>
      <c r="D63" s="145">
        <v>0.9</v>
      </c>
      <c r="E63" s="1" t="s">
        <v>212</v>
      </c>
      <c r="F63" s="14"/>
      <c r="G63" s="14"/>
      <c r="H63" s="105"/>
    </row>
    <row r="64" spans="1:11" x14ac:dyDescent="0.2">
      <c r="A64" s="5" t="s">
        <v>179</v>
      </c>
      <c r="D64" s="106">
        <f>(D56+D57)*D62*D63</f>
        <v>0</v>
      </c>
      <c r="E64" s="1" t="s">
        <v>11</v>
      </c>
      <c r="F64" s="14"/>
      <c r="G64" s="14"/>
      <c r="H64" s="5"/>
    </row>
    <row r="65" spans="1:9" x14ac:dyDescent="0.2">
      <c r="A65" s="13" t="s">
        <v>180</v>
      </c>
      <c r="D65" s="106">
        <f>(D58+D59)*D62*D63</f>
        <v>0</v>
      </c>
      <c r="E65" s="1" t="s">
        <v>11</v>
      </c>
      <c r="F65" s="14"/>
      <c r="G65" s="14"/>
      <c r="H65" s="5"/>
    </row>
    <row r="66" spans="1:9" ht="13.5" thickBot="1" x14ac:dyDescent="0.25">
      <c r="A66" s="64" t="s">
        <v>152</v>
      </c>
      <c r="D66" s="103">
        <f>D60*D62*D63</f>
        <v>0</v>
      </c>
      <c r="E66" s="7" t="s">
        <v>11</v>
      </c>
      <c r="F66" s="14"/>
      <c r="G66" s="14"/>
      <c r="H66" s="5"/>
    </row>
    <row r="67" spans="1:9" x14ac:dyDescent="0.2">
      <c r="A67" s="64"/>
      <c r="D67" s="108"/>
      <c r="E67" s="7"/>
      <c r="F67" s="14"/>
      <c r="G67" s="14"/>
      <c r="H67" s="5"/>
    </row>
    <row r="68" spans="1:9" x14ac:dyDescent="0.2">
      <c r="A68" s="64"/>
      <c r="D68" s="108"/>
      <c r="E68" s="7"/>
      <c r="F68" s="14"/>
      <c r="G68" s="14"/>
      <c r="H68" s="5"/>
    </row>
    <row r="69" spans="1:9" x14ac:dyDescent="0.2">
      <c r="A69" s="280" t="s">
        <v>24</v>
      </c>
      <c r="B69" s="280"/>
      <c r="C69" s="280"/>
      <c r="D69" s="280"/>
      <c r="E69" s="7"/>
      <c r="F69" s="14"/>
      <c r="G69" s="14"/>
      <c r="H69" s="5"/>
    </row>
    <row r="70" spans="1:9" x14ac:dyDescent="0.2">
      <c r="A70" s="280"/>
      <c r="B70" s="280"/>
      <c r="C70" s="280"/>
      <c r="D70" s="280"/>
      <c r="F70" s="14"/>
      <c r="G70" s="14"/>
      <c r="H70" s="5"/>
    </row>
    <row r="71" spans="1:9" x14ac:dyDescent="0.2">
      <c r="A71" s="280"/>
      <c r="B71" s="280"/>
      <c r="C71" s="280"/>
      <c r="D71" s="280"/>
      <c r="F71" s="14"/>
      <c r="G71" s="14"/>
      <c r="H71" s="5"/>
    </row>
    <row r="72" spans="1:9" ht="24" customHeight="1" x14ac:dyDescent="0.2">
      <c r="A72" s="280"/>
      <c r="B72" s="280"/>
      <c r="C72" s="280"/>
      <c r="D72" s="280"/>
      <c r="E72" s="157"/>
      <c r="F72" s="157"/>
      <c r="G72" s="157"/>
      <c r="H72" s="157"/>
      <c r="I72" s="157"/>
    </row>
    <row r="73" spans="1:9" ht="18.75" customHeight="1" x14ac:dyDescent="0.2">
      <c r="A73" s="282"/>
      <c r="B73" s="282"/>
      <c r="C73" s="282"/>
      <c r="D73" s="282"/>
    </row>
    <row r="74" spans="1:9" x14ac:dyDescent="0.2">
      <c r="A74" s="1" t="s">
        <v>0</v>
      </c>
      <c r="D74" s="10" t="s">
        <v>2</v>
      </c>
    </row>
    <row r="75" spans="1:9" ht="18.75" customHeight="1" x14ac:dyDescent="0.2">
      <c r="A75" s="11"/>
      <c r="B75" s="11"/>
      <c r="C75" s="11"/>
      <c r="D75" s="11"/>
    </row>
    <row r="76" spans="1:9" x14ac:dyDescent="0.2">
      <c r="A76" s="1" t="s">
        <v>1</v>
      </c>
      <c r="I76" s="12"/>
    </row>
    <row r="78" spans="1:9" x14ac:dyDescent="0.2">
      <c r="I78" s="57" t="s">
        <v>288</v>
      </c>
    </row>
  </sheetData>
  <sheetProtection algorithmName="SHA-512" hashValue="fyowKnWgR7pfB3sHVP4WPu20HSJTv8pP3DTstcPCcqlARl6gUmnrOEtPZiqzfXJreuwHVDxplisYcgeqenLsLw==" saltValue="CP8kYBSUCPmmGL8OHSPAoQ==" spinCount="100000" sheet="1" objects="1" scenarios="1"/>
  <mergeCells count="16">
    <mergeCell ref="A73:D73"/>
    <mergeCell ref="A4:B4"/>
    <mergeCell ref="D8:E8"/>
    <mergeCell ref="D9:E9"/>
    <mergeCell ref="A44:A46"/>
    <mergeCell ref="B44:B46"/>
    <mergeCell ref="A69:D72"/>
    <mergeCell ref="D2:J2"/>
    <mergeCell ref="D7:E7"/>
    <mergeCell ref="I4:J4"/>
    <mergeCell ref="C44:C46"/>
    <mergeCell ref="D44:D46"/>
    <mergeCell ref="D4:G4"/>
    <mergeCell ref="F26:G26"/>
    <mergeCell ref="F27:G27"/>
    <mergeCell ref="D6:E6"/>
  </mergeCells>
  <phoneticPr fontId="8" type="noConversion"/>
  <dataValidations count="8">
    <dataValidation type="decimal" allowBlank="1" showInputMessage="1" showErrorMessage="1" errorTitle="Valeur autorisée" error="La valeur saisie doit être comprise entre 0 et 3,2%" sqref="D24">
      <formula1>0</formula1>
      <formula2>0.032</formula2>
    </dataValidation>
    <dataValidation type="decimal" allowBlank="1" showInputMessage="1" showErrorMessage="1" errorTitle="Valeur autorisée" error="La valeur saisie doit être comprise entre 0 et 1,2%" sqref="D40">
      <formula1>0</formula1>
      <formula2>0.012</formula2>
    </dataValidation>
    <dataValidation type="list" allowBlank="1" showInputMessage="1" showErrorMessage="1" sqref="D63">
      <formula1>Investissement</formula1>
    </dataValidation>
    <dataValidation type="list" allowBlank="1" showInputMessage="1" showErrorMessage="1" sqref="D32">
      <formula1>Sup</formula1>
    </dataValidation>
    <dataValidation type="list" allowBlank="1" showInputMessage="1" showErrorMessage="1" sqref="D33">
      <formula1>Qualite</formula1>
    </dataValidation>
    <dataValidation type="list" allowBlank="1" showInputMessage="1" showErrorMessage="1" sqref="D34">
      <formula1>InvAT</formula1>
    </dataValidation>
    <dataValidation type="list" allowBlank="1" showInputMessage="1" showErrorMessage="1" sqref="D35">
      <formula1>Rapport</formula1>
    </dataValidation>
    <dataValidation type="decimal" operator="greaterThanOrEqual" allowBlank="1" showInputMessage="1" showErrorMessage="1" errorTitle="Valeur autorisée" error="La valeur saisie doit être supérieure à 15 m_x000a__x000a_Laissez la cellule vide si non applicable" sqref="D21">
      <formula1>15</formula1>
    </dataValidation>
  </dataValidations>
  <printOptions horizontalCentered="1"/>
  <pageMargins left="0" right="0" top="0" bottom="0" header="0.51181102362204722" footer="0.51181102362204722"/>
  <pageSetup paperSize="5" scale="79" orientation="portrait" r:id="rId1"/>
  <headerFooter alignWithMargins="0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283"/>
  <sheetViews>
    <sheetView showGridLines="0" zoomScaleNormal="100" workbookViewId="0">
      <selection activeCell="F9" sqref="F9"/>
    </sheetView>
  </sheetViews>
  <sheetFormatPr baseColWidth="10" defaultColWidth="11.42578125" defaultRowHeight="12.75" x14ac:dyDescent="0.2"/>
  <cols>
    <col min="1" max="1" width="17.28515625" style="1" customWidth="1"/>
    <col min="2" max="2" width="14.28515625" style="1" customWidth="1"/>
    <col min="3" max="3" width="4" style="1" customWidth="1"/>
    <col min="4" max="4" width="15.140625" style="1" customWidth="1"/>
    <col min="5" max="5" width="10.5703125" style="1" customWidth="1"/>
    <col min="6" max="6" width="39.140625" style="1" customWidth="1"/>
    <col min="7" max="7" width="2.42578125" style="16" customWidth="1"/>
    <col min="8" max="8" width="11.7109375" style="1" customWidth="1"/>
    <col min="9" max="9" width="4.7109375" style="1" customWidth="1"/>
    <col min="10" max="10" width="6.5703125" style="1" customWidth="1"/>
    <col min="11" max="11" width="1.85546875" style="1" customWidth="1"/>
    <col min="12" max="19" width="11.42578125" style="1"/>
    <col min="20" max="20" width="40.42578125" style="1" customWidth="1"/>
    <col min="21" max="22" width="11.42578125" style="1"/>
    <col min="23" max="23" width="11.42578125" style="1" hidden="1" customWidth="1"/>
    <col min="24" max="16384" width="11.42578125" style="1"/>
  </cols>
  <sheetData>
    <row r="1" spans="1:23" s="2" customFormat="1" ht="13.9" customHeight="1" x14ac:dyDescent="0.2">
      <c r="A1" s="22"/>
      <c r="B1" s="22"/>
      <c r="C1" s="22"/>
      <c r="D1" s="22"/>
      <c r="E1" s="22"/>
      <c r="F1" s="22"/>
      <c r="G1" s="180"/>
      <c r="H1" s="22"/>
    </row>
    <row r="2" spans="1:23" s="2" customFormat="1" ht="101.25" customHeight="1" x14ac:dyDescent="0.2">
      <c r="A2" s="22"/>
      <c r="B2" s="22"/>
      <c r="C2" s="22"/>
      <c r="D2" s="310" t="s">
        <v>271</v>
      </c>
      <c r="E2" s="310"/>
      <c r="F2" s="310"/>
      <c r="G2" s="310"/>
      <c r="H2" s="310"/>
      <c r="I2" s="310"/>
      <c r="J2" s="310"/>
      <c r="K2" s="163"/>
    </row>
    <row r="4" spans="1:23" s="2" customFormat="1" ht="57.6" customHeight="1" x14ac:dyDescent="0.2">
      <c r="A4" s="352" t="s">
        <v>284</v>
      </c>
      <c r="B4" s="352"/>
      <c r="C4" s="1"/>
      <c r="D4" s="352" t="s">
        <v>281</v>
      </c>
      <c r="E4" s="352"/>
      <c r="F4" s="352"/>
      <c r="G4" s="181"/>
      <c r="H4" s="352" t="s">
        <v>282</v>
      </c>
      <c r="I4" s="352"/>
      <c r="J4" s="352"/>
    </row>
    <row r="5" spans="1:23" x14ac:dyDescent="0.2">
      <c r="D5" s="4"/>
    </row>
    <row r="6" spans="1:23" x14ac:dyDescent="0.2">
      <c r="A6" s="1" t="s">
        <v>287</v>
      </c>
      <c r="D6" s="317"/>
      <c r="E6" s="318"/>
    </row>
    <row r="7" spans="1:23" x14ac:dyDescent="0.2">
      <c r="A7" s="1" t="s">
        <v>216</v>
      </c>
      <c r="D7" s="353"/>
      <c r="E7" s="305"/>
    </row>
    <row r="8" spans="1:23" x14ac:dyDescent="0.2">
      <c r="A8" s="1" t="s">
        <v>217</v>
      </c>
      <c r="D8" s="305"/>
      <c r="E8" s="305"/>
    </row>
    <row r="9" spans="1:23" x14ac:dyDescent="0.2">
      <c r="A9" s="1" t="s">
        <v>214</v>
      </c>
      <c r="D9" s="308"/>
      <c r="E9" s="309"/>
    </row>
    <row r="10" spans="1:23" x14ac:dyDescent="0.2">
      <c r="D10" s="190"/>
      <c r="E10" s="190"/>
    </row>
    <row r="11" spans="1:23" ht="6" customHeight="1" x14ac:dyDescent="0.2">
      <c r="A11" s="6"/>
      <c r="B11" s="6"/>
      <c r="C11" s="6"/>
      <c r="D11" s="6"/>
      <c r="E11" s="51"/>
      <c r="F11" s="51"/>
      <c r="G11" s="51"/>
      <c r="H11" s="51"/>
      <c r="I11" s="51"/>
      <c r="J11" s="51"/>
    </row>
    <row r="12" spans="1:23" ht="15.95" customHeight="1" x14ac:dyDescent="0.2">
      <c r="A12" s="173" t="s">
        <v>248</v>
      </c>
      <c r="B12" s="68"/>
      <c r="C12" s="68"/>
      <c r="D12" s="68"/>
      <c r="E12" s="164"/>
      <c r="F12" s="68"/>
      <c r="H12" s="68"/>
      <c r="I12" s="68"/>
      <c r="J12" s="68"/>
    </row>
    <row r="13" spans="1:23" ht="13.5" thickBot="1" x14ac:dyDescent="0.25">
      <c r="D13" s="15"/>
      <c r="E13" s="15"/>
    </row>
    <row r="14" spans="1:23" ht="16.5" customHeight="1" thickBot="1" x14ac:dyDescent="0.25">
      <c r="A14" s="348" t="s">
        <v>259</v>
      </c>
      <c r="B14" s="349"/>
      <c r="C14" s="349"/>
      <c r="D14" s="351"/>
      <c r="E14" s="229"/>
      <c r="F14" s="1" t="s">
        <v>240</v>
      </c>
      <c r="W14" s="1">
        <f>IF(E14="non",0,1)</f>
        <v>1</v>
      </c>
    </row>
    <row r="15" spans="1:23" ht="16.5" customHeight="1" thickBot="1" x14ac:dyDescent="0.25">
      <c r="A15" s="1" t="s">
        <v>249</v>
      </c>
      <c r="D15" s="15"/>
      <c r="E15" s="229"/>
      <c r="F15" s="1" t="s">
        <v>240</v>
      </c>
      <c r="W15" s="1">
        <f>IF(E15="non",0,1)</f>
        <v>1</v>
      </c>
    </row>
    <row r="16" spans="1:23" ht="16.5" customHeight="1" thickBot="1" x14ac:dyDescent="0.25">
      <c r="A16" s="1" t="s">
        <v>250</v>
      </c>
      <c r="E16" s="224"/>
      <c r="F16" s="1" t="s">
        <v>251</v>
      </c>
      <c r="W16" s="1">
        <f>IF(W14+W15=2,1,0)</f>
        <v>1</v>
      </c>
    </row>
    <row r="17" spans="1:23" ht="16.5" customHeight="1" x14ac:dyDescent="0.2"/>
    <row r="18" spans="1:23" ht="15.95" customHeight="1" x14ac:dyDescent="0.2">
      <c r="A18" s="173" t="s">
        <v>283</v>
      </c>
      <c r="B18" s="68"/>
      <c r="C18" s="68"/>
      <c r="D18" s="68"/>
      <c r="E18" s="164"/>
      <c r="F18" s="68"/>
      <c r="H18" s="68"/>
      <c r="I18" s="68"/>
      <c r="J18" s="68"/>
    </row>
    <row r="19" spans="1:23" ht="15.75" customHeight="1" x14ac:dyDescent="0.2">
      <c r="G19" s="1"/>
      <c r="H19" s="83" t="s">
        <v>20</v>
      </c>
    </row>
    <row r="20" spans="1:23" ht="14.25" customHeight="1" x14ac:dyDescent="0.2">
      <c r="A20" s="222" t="s">
        <v>257</v>
      </c>
      <c r="B20" s="16"/>
      <c r="C20" s="16"/>
      <c r="D20" s="16"/>
      <c r="E20" s="15"/>
      <c r="F20" s="16"/>
      <c r="H20" s="16"/>
      <c r="I20" s="16"/>
      <c r="J20" s="16"/>
    </row>
    <row r="21" spans="1:23" ht="15" customHeight="1" thickBot="1" x14ac:dyDescent="0.25">
      <c r="A21" s="1" t="s">
        <v>252</v>
      </c>
      <c r="D21" s="223"/>
      <c r="F21" s="19"/>
      <c r="G21" s="165"/>
      <c r="J21" s="19"/>
    </row>
    <row r="22" spans="1:23" ht="15" customHeight="1" thickBot="1" x14ac:dyDescent="0.25">
      <c r="A22" s="1" t="s">
        <v>256</v>
      </c>
      <c r="D22" s="221"/>
      <c r="F22" s="19"/>
      <c r="G22" s="19"/>
      <c r="H22" s="93">
        <f>IF(ISBLANK(D21),0,VLOOKUP(D21,A97:E283,2,FALSE)*W16*D22)</f>
        <v>0</v>
      </c>
      <c r="I22" s="6" t="s">
        <v>9</v>
      </c>
      <c r="J22" s="19"/>
    </row>
    <row r="23" spans="1:23" ht="15" customHeight="1" x14ac:dyDescent="0.2">
      <c r="D23" s="23"/>
      <c r="F23" s="19"/>
      <c r="G23" s="19"/>
      <c r="H23" s="19"/>
      <c r="I23" s="6"/>
      <c r="J23" s="19"/>
    </row>
    <row r="24" spans="1:23" ht="15" customHeight="1" x14ac:dyDescent="0.2">
      <c r="A24" s="222" t="s">
        <v>255</v>
      </c>
      <c r="B24" s="222"/>
      <c r="C24" s="222"/>
      <c r="D24" s="222"/>
      <c r="E24" s="219"/>
      <c r="F24" s="19"/>
      <c r="G24" s="165"/>
      <c r="H24" s="83"/>
      <c r="I24" s="19"/>
      <c r="J24" s="19"/>
    </row>
    <row r="25" spans="1:23" ht="5.25" customHeight="1" x14ac:dyDescent="0.2">
      <c r="A25" s="222"/>
      <c r="B25" s="222"/>
      <c r="C25" s="222"/>
      <c r="D25" s="222"/>
      <c r="E25" s="219"/>
      <c r="F25" s="19"/>
      <c r="G25" s="165"/>
      <c r="H25" s="83"/>
      <c r="I25" s="19"/>
      <c r="J25" s="19"/>
    </row>
    <row r="26" spans="1:23" ht="15.75" customHeight="1" x14ac:dyDescent="0.2">
      <c r="A26" s="1" t="s">
        <v>258</v>
      </c>
      <c r="B26" s="176"/>
      <c r="C26" s="176"/>
      <c r="D26" s="230"/>
      <c r="E26" s="16"/>
      <c r="F26" s="19"/>
      <c r="G26" s="165"/>
      <c r="H26" s="83"/>
      <c r="I26" s="19"/>
      <c r="J26" s="19"/>
    </row>
    <row r="27" spans="1:23" ht="15.75" customHeight="1" x14ac:dyDescent="0.2">
      <c r="A27" s="231" t="s">
        <v>260</v>
      </c>
      <c r="D27" s="350"/>
      <c r="E27" s="309"/>
      <c r="F27" s="174"/>
    </row>
    <row r="28" spans="1:23" ht="15.75" customHeight="1" x14ac:dyDescent="0.2">
      <c r="A28" s="231" t="s">
        <v>285</v>
      </c>
      <c r="D28" s="263"/>
      <c r="F28" s="174"/>
    </row>
    <row r="29" spans="1:23" ht="15" customHeight="1" thickBot="1" x14ac:dyDescent="0.25">
      <c r="A29" s="57" t="s">
        <v>286</v>
      </c>
      <c r="D29" s="263"/>
      <c r="G29" s="182"/>
      <c r="H29" s="5"/>
      <c r="W29" s="174">
        <f>IF((D30*0.083-20)*20&lt;0,0,IF((D30*0.083-20)*20&lt;240,(D30*0.083-20)*20,240))</f>
        <v>0</v>
      </c>
    </row>
    <row r="30" spans="1:23" ht="15" customHeight="1" thickBot="1" x14ac:dyDescent="0.25">
      <c r="A30" s="1" t="s">
        <v>254</v>
      </c>
      <c r="B30" s="220"/>
      <c r="C30" s="176"/>
      <c r="D30" s="197"/>
      <c r="E30" s="5" t="s">
        <v>253</v>
      </c>
      <c r="G30" s="186"/>
      <c r="H30" s="93">
        <f>IF(D28 ="",0,W29)*W16*D22</f>
        <v>0</v>
      </c>
      <c r="I30" s="6" t="s">
        <v>9</v>
      </c>
    </row>
    <row r="31" spans="1:23" ht="15" customHeight="1" thickBot="1" x14ac:dyDescent="0.25">
      <c r="G31" s="177"/>
      <c r="I31" s="4"/>
    </row>
    <row r="32" spans="1:23" ht="15" customHeight="1" thickBot="1" x14ac:dyDescent="0.25">
      <c r="D32" s="129"/>
      <c r="E32" s="4"/>
      <c r="H32" s="93">
        <f>(D26*H30+(1-D26)*H22)</f>
        <v>0</v>
      </c>
      <c r="I32" s="6" t="s">
        <v>9</v>
      </c>
      <c r="J32" s="4"/>
    </row>
    <row r="33" spans="1:11" ht="15" customHeight="1" x14ac:dyDescent="0.2">
      <c r="B33" s="4"/>
      <c r="C33" s="4"/>
      <c r="D33" s="189"/>
      <c r="G33" s="177"/>
    </row>
    <row r="34" spans="1:11" ht="17.25" customHeight="1" x14ac:dyDescent="0.2">
      <c r="A34" s="173" t="s">
        <v>247</v>
      </c>
      <c r="B34" s="66"/>
      <c r="C34" s="66"/>
      <c r="D34" s="171"/>
      <c r="E34" s="164"/>
      <c r="F34" s="68"/>
      <c r="G34" s="165"/>
      <c r="H34" s="77"/>
      <c r="I34" s="68"/>
      <c r="J34" s="68"/>
    </row>
    <row r="35" spans="1:11" ht="15.75" customHeight="1" x14ac:dyDescent="0.2">
      <c r="D35" s="172"/>
      <c r="G35" s="178"/>
      <c r="H35" s="83" t="s">
        <v>20</v>
      </c>
    </row>
    <row r="36" spans="1:11" ht="25.5" customHeight="1" x14ac:dyDescent="0.2">
      <c r="A36" s="348" t="s">
        <v>274</v>
      </c>
      <c r="B36" s="349"/>
      <c r="C36" s="349"/>
      <c r="D36" s="261"/>
      <c r="E36" s="1" t="s">
        <v>240</v>
      </c>
      <c r="G36" s="183"/>
      <c r="J36" s="19"/>
    </row>
    <row r="37" spans="1:11" ht="15.75" customHeight="1" x14ac:dyDescent="0.2">
      <c r="A37" s="1" t="s">
        <v>261</v>
      </c>
      <c r="B37" s="176"/>
      <c r="C37" s="176"/>
      <c r="D37" s="230"/>
      <c r="E37" s="5"/>
      <c r="F37" s="19"/>
      <c r="G37" s="165"/>
      <c r="H37" s="83"/>
      <c r="I37" s="19"/>
      <c r="J37" s="19"/>
    </row>
    <row r="38" spans="1:11" ht="15.75" customHeight="1" x14ac:dyDescent="0.2">
      <c r="A38" s="57" t="s">
        <v>260</v>
      </c>
      <c r="D38" s="350"/>
      <c r="E38" s="309"/>
      <c r="F38" s="19"/>
    </row>
    <row r="39" spans="1:11" ht="15.75" customHeight="1" thickBot="1" x14ac:dyDescent="0.25">
      <c r="A39" s="231" t="s">
        <v>285</v>
      </c>
      <c r="D39" s="268"/>
      <c r="E39" s="15"/>
      <c r="F39" s="19"/>
    </row>
    <row r="40" spans="1:11" ht="15" customHeight="1" thickBot="1" x14ac:dyDescent="0.25">
      <c r="A40" s="349" t="s">
        <v>286</v>
      </c>
      <c r="B40" s="349"/>
      <c r="C40" s="349"/>
      <c r="D40" s="261"/>
      <c r="F40" s="19"/>
      <c r="G40" s="179"/>
      <c r="H40" s="98">
        <f>(IF(D39="",0,IF(D36="oui",60,0))*W16)*D37</f>
        <v>0</v>
      </c>
      <c r="I40" s="19" t="s">
        <v>9</v>
      </c>
      <c r="J40" s="19"/>
    </row>
    <row r="41" spans="1:11" ht="15" customHeight="1" x14ac:dyDescent="0.2">
      <c r="A41" s="258"/>
      <c r="B41" s="258"/>
      <c r="C41" s="258"/>
      <c r="D41" s="264"/>
      <c r="F41" s="19"/>
      <c r="G41" s="179"/>
      <c r="H41" s="183"/>
      <c r="I41" s="19"/>
      <c r="J41" s="19"/>
    </row>
    <row r="42" spans="1:11" ht="25.5" customHeight="1" x14ac:dyDescent="0.2">
      <c r="A42" s="348" t="s">
        <v>275</v>
      </c>
      <c r="B42" s="349"/>
      <c r="C42" s="349"/>
      <c r="D42" s="261"/>
      <c r="E42" s="1" t="s">
        <v>240</v>
      </c>
      <c r="G42" s="183"/>
      <c r="J42" s="19"/>
    </row>
    <row r="43" spans="1:11" ht="15.75" customHeight="1" x14ac:dyDescent="0.2">
      <c r="A43" s="57" t="s">
        <v>276</v>
      </c>
      <c r="B43" s="176"/>
      <c r="C43" s="176"/>
      <c r="D43" s="230"/>
      <c r="E43" s="5"/>
      <c r="F43" s="19"/>
      <c r="G43" s="165"/>
      <c r="H43" s="83"/>
      <c r="I43" s="19"/>
      <c r="J43" s="19"/>
    </row>
    <row r="44" spans="1:11" ht="15.75" customHeight="1" x14ac:dyDescent="0.2">
      <c r="A44" s="57" t="s">
        <v>260</v>
      </c>
      <c r="D44" s="350"/>
      <c r="E44" s="309"/>
      <c r="F44" s="19"/>
    </row>
    <row r="45" spans="1:11" ht="15.75" customHeight="1" thickBot="1" x14ac:dyDescent="0.25">
      <c r="A45" s="231" t="s">
        <v>285</v>
      </c>
      <c r="D45" s="197"/>
      <c r="E45" s="278"/>
      <c r="F45" s="19"/>
    </row>
    <row r="46" spans="1:11" ht="15" customHeight="1" thickBot="1" x14ac:dyDescent="0.25">
      <c r="A46" s="349" t="s">
        <v>286</v>
      </c>
      <c r="B46" s="349"/>
      <c r="C46" s="349"/>
      <c r="D46" s="261"/>
      <c r="F46" s="19"/>
      <c r="G46" s="179"/>
      <c r="H46" s="98">
        <f>(IF(D45="",0,IF(D42="oui",60,0))*W16)*D43</f>
        <v>0</v>
      </c>
      <c r="I46" s="19" t="s">
        <v>9</v>
      </c>
      <c r="J46" s="19"/>
    </row>
    <row r="47" spans="1:11" ht="13.5" customHeight="1" x14ac:dyDescent="0.2">
      <c r="A47" s="16"/>
      <c r="B47" s="16"/>
      <c r="C47" s="16"/>
      <c r="D47" s="72"/>
      <c r="E47" s="16"/>
    </row>
    <row r="48" spans="1:11" s="7" customFormat="1" ht="15.95" customHeight="1" x14ac:dyDescent="0.2">
      <c r="A48" s="84" t="s">
        <v>3</v>
      </c>
      <c r="B48" s="85"/>
      <c r="C48" s="85"/>
      <c r="D48" s="86"/>
      <c r="E48" s="85"/>
      <c r="F48" s="87"/>
      <c r="G48" s="125"/>
      <c r="H48" s="87"/>
      <c r="I48" s="87"/>
      <c r="J48" s="87"/>
      <c r="K48" s="1"/>
    </row>
    <row r="49" spans="1:9" ht="13.5" thickBot="1" x14ac:dyDescent="0.25">
      <c r="A49" s="16"/>
      <c r="B49" s="16"/>
      <c r="C49" s="16"/>
      <c r="D49" s="72"/>
      <c r="E49" s="16"/>
    </row>
    <row r="50" spans="1:9" ht="16.5" customHeight="1" x14ac:dyDescent="0.2">
      <c r="A50" s="5" t="str">
        <f>A18</f>
        <v>Volet 1: Mesure d'accès au marché</v>
      </c>
      <c r="G50" s="184"/>
      <c r="H50" s="216">
        <f>D26*H30+(1-D26)*H22</f>
        <v>0</v>
      </c>
      <c r="I50" s="1" t="s">
        <v>9</v>
      </c>
    </row>
    <row r="51" spans="1:9" ht="16.5" customHeight="1" x14ac:dyDescent="0.2">
      <c r="A51" s="5" t="str">
        <f>A34</f>
        <v>Volet 2: Transport et mesurage optimisés des bois feuillus en longueur</v>
      </c>
      <c r="B51" s="5"/>
      <c r="C51" s="5"/>
      <c r="D51" s="5"/>
      <c r="E51" s="5"/>
      <c r="G51" s="184"/>
      <c r="H51" s="217">
        <f>H40+H46</f>
        <v>0</v>
      </c>
      <c r="I51" s="1" t="s">
        <v>9</v>
      </c>
    </row>
    <row r="52" spans="1:9" ht="13.5" thickBot="1" x14ac:dyDescent="0.25">
      <c r="A52" s="64" t="s">
        <v>3</v>
      </c>
      <c r="E52" s="56"/>
      <c r="G52" s="185"/>
      <c r="H52" s="218">
        <f>H51+H50</f>
        <v>0</v>
      </c>
      <c r="I52" s="56" t="s">
        <v>9</v>
      </c>
    </row>
    <row r="53" spans="1:9" ht="13.5" thickBot="1" x14ac:dyDescent="0.25">
      <c r="A53" s="5"/>
      <c r="H53" s="14"/>
    </row>
    <row r="54" spans="1:9" ht="13.5" thickBot="1" x14ac:dyDescent="0.25">
      <c r="A54" s="64" t="s">
        <v>152</v>
      </c>
      <c r="E54" s="7"/>
      <c r="G54" s="108"/>
      <c r="H54" s="279">
        <f>IF(AND(E14="oui",E15="oui"),H52*E16,0)</f>
        <v>0</v>
      </c>
      <c r="I54" s="7" t="s">
        <v>11</v>
      </c>
    </row>
    <row r="55" spans="1:9" x14ac:dyDescent="0.2">
      <c r="A55" s="64"/>
      <c r="D55" s="108"/>
      <c r="E55" s="7"/>
      <c r="F55" s="14"/>
      <c r="H55" s="5"/>
    </row>
    <row r="56" spans="1:9" x14ac:dyDescent="0.2">
      <c r="F56" s="14"/>
      <c r="H56" s="5"/>
    </row>
    <row r="57" spans="1:9" ht="27.75" customHeight="1" x14ac:dyDescent="0.2">
      <c r="A57" s="280" t="s">
        <v>24</v>
      </c>
      <c r="B57" s="280"/>
      <c r="C57" s="280"/>
      <c r="D57" s="280"/>
      <c r="E57" s="280"/>
      <c r="F57" s="280"/>
      <c r="G57" s="280"/>
      <c r="H57" s="280"/>
      <c r="I57" s="280"/>
    </row>
    <row r="58" spans="1:9" ht="13.5" customHeight="1" x14ac:dyDescent="0.2">
      <c r="G58" s="1"/>
    </row>
    <row r="59" spans="1:9" ht="18.75" customHeight="1" x14ac:dyDescent="0.2">
      <c r="A59" s="282"/>
      <c r="B59" s="282"/>
      <c r="C59" s="282"/>
      <c r="D59" s="282"/>
    </row>
    <row r="60" spans="1:9" x14ac:dyDescent="0.2">
      <c r="A60" s="1" t="s">
        <v>0</v>
      </c>
      <c r="D60" s="10" t="s">
        <v>2</v>
      </c>
    </row>
    <row r="61" spans="1:9" ht="18.75" customHeight="1" x14ac:dyDescent="0.2">
      <c r="A61" s="225"/>
      <c r="B61" s="225"/>
      <c r="C61" s="225"/>
      <c r="D61" s="225"/>
    </row>
    <row r="62" spans="1:9" x14ac:dyDescent="0.2">
      <c r="A62" s="1" t="s">
        <v>1</v>
      </c>
      <c r="I62" s="12"/>
    </row>
    <row r="64" spans="1:9" x14ac:dyDescent="0.2">
      <c r="H64" s="57" t="s">
        <v>288</v>
      </c>
    </row>
    <row r="95" spans="1:7" hidden="1" x14ac:dyDescent="0.2">
      <c r="D95" s="19"/>
    </row>
    <row r="96" spans="1:7" hidden="1" x14ac:dyDescent="0.2">
      <c r="A96" s="175" t="s">
        <v>239</v>
      </c>
      <c r="B96" s="262" t="s">
        <v>273</v>
      </c>
      <c r="C96" s="175"/>
      <c r="D96" s="19"/>
      <c r="E96" s="265"/>
      <c r="G96" s="1"/>
    </row>
    <row r="97" spans="1:7" hidden="1" x14ac:dyDescent="0.2">
      <c r="A97" s="188">
        <v>151</v>
      </c>
      <c r="B97" s="4">
        <v>0</v>
      </c>
      <c r="D97" s="267"/>
      <c r="E97" s="266"/>
      <c r="G97" s="1"/>
    </row>
    <row r="98" spans="1:7" hidden="1" x14ac:dyDescent="0.2">
      <c r="A98" s="187">
        <v>152</v>
      </c>
      <c r="B98" s="4">
        <v>0</v>
      </c>
      <c r="D98" s="267"/>
      <c r="E98" s="266"/>
      <c r="G98" s="1"/>
    </row>
    <row r="99" spans="1:7" hidden="1" x14ac:dyDescent="0.2">
      <c r="A99" s="187">
        <v>153</v>
      </c>
      <c r="B99" s="4">
        <v>0</v>
      </c>
      <c r="D99" s="267"/>
      <c r="E99" s="266"/>
      <c r="G99" s="1"/>
    </row>
    <row r="100" spans="1:7" hidden="1" x14ac:dyDescent="0.2">
      <c r="A100" s="187">
        <v>154</v>
      </c>
      <c r="B100" s="4">
        <v>0</v>
      </c>
      <c r="D100" s="267"/>
      <c r="E100" s="266"/>
      <c r="G100" s="1"/>
    </row>
    <row r="101" spans="1:7" hidden="1" x14ac:dyDescent="0.2">
      <c r="A101" s="187">
        <v>155</v>
      </c>
      <c r="B101" s="4">
        <v>0</v>
      </c>
      <c r="D101" s="267"/>
      <c r="E101" s="266"/>
      <c r="G101" s="1"/>
    </row>
    <row r="102" spans="1:7" hidden="1" x14ac:dyDescent="0.2">
      <c r="A102" s="187">
        <v>156</v>
      </c>
      <c r="B102" s="4">
        <v>0</v>
      </c>
      <c r="D102" s="267"/>
      <c r="E102" s="266"/>
      <c r="G102" s="1"/>
    </row>
    <row r="103" spans="1:7" hidden="1" x14ac:dyDescent="0.2">
      <c r="A103" s="187">
        <v>157</v>
      </c>
      <c r="B103" s="4">
        <v>0</v>
      </c>
      <c r="D103" s="267"/>
      <c r="E103" s="266"/>
      <c r="G103" s="1"/>
    </row>
    <row r="104" spans="1:7" hidden="1" x14ac:dyDescent="0.2">
      <c r="A104" s="187">
        <v>158</v>
      </c>
      <c r="B104" s="4">
        <v>0</v>
      </c>
      <c r="D104" s="267"/>
      <c r="E104" s="266"/>
      <c r="G104" s="1"/>
    </row>
    <row r="105" spans="1:7" hidden="1" x14ac:dyDescent="0.2">
      <c r="A105" s="187">
        <v>180</v>
      </c>
      <c r="B105" s="4">
        <v>0</v>
      </c>
      <c r="D105" s="267"/>
      <c r="E105" s="266"/>
      <c r="G105" s="1"/>
    </row>
    <row r="106" spans="1:7" hidden="1" x14ac:dyDescent="0.2">
      <c r="A106" s="187">
        <v>181</v>
      </c>
      <c r="B106" s="4">
        <v>40</v>
      </c>
      <c r="D106" s="267"/>
      <c r="E106" s="266"/>
      <c r="G106" s="1"/>
    </row>
    <row r="107" spans="1:7" hidden="1" x14ac:dyDescent="0.2">
      <c r="A107" s="187">
        <v>182</v>
      </c>
      <c r="B107" s="4">
        <v>0</v>
      </c>
      <c r="D107" s="267"/>
      <c r="E107" s="266"/>
      <c r="G107" s="1"/>
    </row>
    <row r="108" spans="1:7" hidden="1" x14ac:dyDescent="0.2">
      <c r="A108" s="187">
        <v>183</v>
      </c>
      <c r="B108" s="4">
        <v>0</v>
      </c>
      <c r="D108" s="267"/>
      <c r="E108" s="266"/>
      <c r="G108" s="1"/>
    </row>
    <row r="109" spans="1:7" hidden="1" x14ac:dyDescent="0.2">
      <c r="A109" s="187">
        <v>184</v>
      </c>
      <c r="B109" s="4">
        <v>140</v>
      </c>
      <c r="D109" s="267"/>
      <c r="E109" s="266"/>
      <c r="G109" s="1"/>
    </row>
    <row r="110" spans="1:7" hidden="1" x14ac:dyDescent="0.2">
      <c r="A110" s="187">
        <v>185</v>
      </c>
      <c r="B110" s="4">
        <v>40</v>
      </c>
      <c r="D110" s="267"/>
      <c r="E110" s="266"/>
      <c r="G110" s="1"/>
    </row>
    <row r="111" spans="1:7" hidden="1" x14ac:dyDescent="0.2">
      <c r="A111" s="187">
        <v>186</v>
      </c>
      <c r="B111" s="4">
        <v>60</v>
      </c>
      <c r="D111" s="267"/>
      <c r="E111" s="266"/>
      <c r="G111" s="1"/>
    </row>
    <row r="112" spans="1:7" hidden="1" x14ac:dyDescent="0.2">
      <c r="A112" s="187">
        <v>187</v>
      </c>
      <c r="B112" s="4">
        <v>100</v>
      </c>
      <c r="D112" s="267"/>
      <c r="E112" s="266"/>
      <c r="G112" s="1"/>
    </row>
    <row r="113" spans="1:7" hidden="1" x14ac:dyDescent="0.2">
      <c r="A113" s="187">
        <v>190</v>
      </c>
      <c r="B113" s="4">
        <v>200</v>
      </c>
      <c r="D113" s="267"/>
      <c r="E113" s="266"/>
      <c r="G113" s="1"/>
    </row>
    <row r="114" spans="1:7" hidden="1" x14ac:dyDescent="0.2">
      <c r="A114" s="187">
        <v>191</v>
      </c>
      <c r="B114" s="4">
        <v>220</v>
      </c>
      <c r="D114" s="267"/>
      <c r="E114" s="266"/>
      <c r="G114" s="1"/>
    </row>
    <row r="115" spans="1:7" hidden="1" x14ac:dyDescent="0.2">
      <c r="A115" s="187">
        <v>192</v>
      </c>
      <c r="B115" s="4">
        <v>120</v>
      </c>
      <c r="D115" s="267"/>
      <c r="E115" s="266"/>
      <c r="G115" s="1"/>
    </row>
    <row r="116" spans="1:7" hidden="1" x14ac:dyDescent="0.2">
      <c r="A116" s="187">
        <v>193</v>
      </c>
      <c r="B116" s="4">
        <v>80</v>
      </c>
      <c r="D116" s="267"/>
      <c r="E116" s="266"/>
      <c r="G116" s="1"/>
    </row>
    <row r="117" spans="1:7" hidden="1" x14ac:dyDescent="0.2">
      <c r="A117" s="187">
        <v>194</v>
      </c>
      <c r="B117" s="4">
        <v>0</v>
      </c>
      <c r="D117" s="267"/>
      <c r="E117" s="266"/>
      <c r="G117" s="1"/>
    </row>
    <row r="118" spans="1:7" hidden="1" x14ac:dyDescent="0.2">
      <c r="A118" s="187">
        <v>195</v>
      </c>
      <c r="B118" s="4">
        <v>0</v>
      </c>
      <c r="D118" s="267"/>
      <c r="E118" s="266"/>
      <c r="G118" s="1"/>
    </row>
    <row r="119" spans="1:7" hidden="1" x14ac:dyDescent="0.2">
      <c r="A119" s="187">
        <v>240</v>
      </c>
      <c r="B119" s="4">
        <v>0</v>
      </c>
      <c r="D119" s="267"/>
      <c r="E119" s="266"/>
      <c r="G119" s="1"/>
    </row>
    <row r="120" spans="1:7" hidden="1" x14ac:dyDescent="0.2">
      <c r="A120" s="187">
        <v>241</v>
      </c>
      <c r="B120" s="4">
        <v>20</v>
      </c>
      <c r="D120" s="267"/>
      <c r="E120" s="266"/>
      <c r="G120" s="1"/>
    </row>
    <row r="121" spans="1:7" hidden="1" x14ac:dyDescent="0.2">
      <c r="A121" s="187">
        <v>242</v>
      </c>
      <c r="B121" s="4">
        <v>80</v>
      </c>
      <c r="D121" s="267"/>
      <c r="E121" s="266"/>
      <c r="G121" s="1"/>
    </row>
    <row r="122" spans="1:7" hidden="1" x14ac:dyDescent="0.2">
      <c r="A122" s="187">
        <v>243</v>
      </c>
      <c r="B122" s="4">
        <v>120</v>
      </c>
      <c r="D122" s="267"/>
      <c r="E122" s="266"/>
      <c r="G122" s="1"/>
    </row>
    <row r="123" spans="1:7" hidden="1" x14ac:dyDescent="0.2">
      <c r="A123" s="187">
        <v>244</v>
      </c>
      <c r="B123" s="4">
        <v>200</v>
      </c>
      <c r="D123" s="267"/>
      <c r="E123" s="266"/>
      <c r="G123" s="1"/>
    </row>
    <row r="124" spans="1:7" hidden="1" x14ac:dyDescent="0.2">
      <c r="A124" s="187">
        <v>245</v>
      </c>
      <c r="B124" s="4">
        <v>200</v>
      </c>
      <c r="D124" s="267"/>
      <c r="E124" s="266"/>
      <c r="G124" s="1"/>
    </row>
    <row r="125" spans="1:7" hidden="1" x14ac:dyDescent="0.2">
      <c r="A125" s="187">
        <v>246</v>
      </c>
      <c r="B125" s="4">
        <v>240</v>
      </c>
      <c r="D125" s="267"/>
      <c r="E125" s="266"/>
      <c r="G125" s="1"/>
    </row>
    <row r="126" spans="1:7" hidden="1" x14ac:dyDescent="0.2">
      <c r="A126" s="187">
        <v>247</v>
      </c>
      <c r="B126" s="4">
        <v>240</v>
      </c>
      <c r="D126" s="267"/>
      <c r="E126" s="266"/>
      <c r="G126" s="1"/>
    </row>
    <row r="127" spans="1:7" hidden="1" x14ac:dyDescent="0.2">
      <c r="A127" s="187">
        <v>250</v>
      </c>
      <c r="B127" s="4">
        <v>240</v>
      </c>
      <c r="D127" s="267"/>
      <c r="E127" s="266"/>
      <c r="G127" s="1"/>
    </row>
    <row r="128" spans="1:7" hidden="1" x14ac:dyDescent="0.2">
      <c r="A128" s="187">
        <v>251</v>
      </c>
      <c r="B128" s="4">
        <v>240</v>
      </c>
      <c r="D128" s="267"/>
      <c r="E128" s="266"/>
      <c r="G128" s="1"/>
    </row>
    <row r="129" spans="1:7" hidden="1" x14ac:dyDescent="0.2">
      <c r="A129" s="187">
        <v>252</v>
      </c>
      <c r="B129" s="4">
        <v>240</v>
      </c>
      <c r="D129" s="267"/>
      <c r="E129" s="266"/>
      <c r="G129" s="1"/>
    </row>
    <row r="130" spans="1:7" hidden="1" x14ac:dyDescent="0.2">
      <c r="A130" s="187">
        <v>253</v>
      </c>
      <c r="B130" s="4">
        <v>240</v>
      </c>
      <c r="D130" s="267"/>
      <c r="E130" s="266"/>
      <c r="G130" s="1"/>
    </row>
    <row r="131" spans="1:7" hidden="1" x14ac:dyDescent="0.2">
      <c r="A131" s="187">
        <v>254</v>
      </c>
      <c r="B131" s="4">
        <v>240</v>
      </c>
      <c r="D131" s="267"/>
      <c r="E131" s="266"/>
      <c r="G131" s="1"/>
    </row>
    <row r="132" spans="1:7" hidden="1" x14ac:dyDescent="0.2">
      <c r="A132" s="187">
        <v>255</v>
      </c>
      <c r="B132" s="4">
        <v>100</v>
      </c>
      <c r="D132" s="267"/>
      <c r="E132" s="266"/>
      <c r="G132" s="1"/>
    </row>
    <row r="133" spans="1:7" hidden="1" x14ac:dyDescent="0.2">
      <c r="A133" s="187">
        <v>256</v>
      </c>
      <c r="B133" s="4">
        <v>180</v>
      </c>
      <c r="D133" s="267"/>
      <c r="E133" s="266"/>
      <c r="G133" s="1"/>
    </row>
    <row r="134" spans="1:7" hidden="1" x14ac:dyDescent="0.2">
      <c r="A134" s="187">
        <v>257</v>
      </c>
      <c r="B134" s="4">
        <v>240</v>
      </c>
      <c r="D134" s="267"/>
      <c r="E134" s="266"/>
      <c r="G134" s="1"/>
    </row>
    <row r="135" spans="1:7" hidden="1" x14ac:dyDescent="0.2">
      <c r="A135" s="187">
        <v>258</v>
      </c>
      <c r="B135" s="4">
        <v>240</v>
      </c>
      <c r="D135" s="267"/>
      <c r="E135" s="266"/>
      <c r="G135" s="1"/>
    </row>
    <row r="136" spans="1:7" hidden="1" x14ac:dyDescent="0.2">
      <c r="A136" s="187">
        <v>259</v>
      </c>
      <c r="B136" s="4">
        <v>240</v>
      </c>
      <c r="D136" s="267"/>
      <c r="E136" s="266"/>
      <c r="G136" s="1"/>
    </row>
    <row r="137" spans="1:7" hidden="1" x14ac:dyDescent="0.2">
      <c r="A137" s="187">
        <v>260</v>
      </c>
      <c r="B137" s="4">
        <v>240</v>
      </c>
      <c r="D137" s="267"/>
      <c r="E137" s="266"/>
      <c r="G137" s="1"/>
    </row>
    <row r="138" spans="1:7" hidden="1" x14ac:dyDescent="0.2">
      <c r="A138" s="187">
        <v>261</v>
      </c>
      <c r="B138" s="4">
        <v>240</v>
      </c>
      <c r="D138" s="267"/>
      <c r="E138" s="266"/>
      <c r="G138" s="1"/>
    </row>
    <row r="139" spans="1:7" hidden="1" x14ac:dyDescent="0.2">
      <c r="A139" s="187">
        <v>262</v>
      </c>
      <c r="B139" s="4">
        <v>240</v>
      </c>
      <c r="D139" s="267"/>
      <c r="E139" s="266"/>
      <c r="G139" s="1"/>
    </row>
    <row r="140" spans="1:7" hidden="1" x14ac:dyDescent="0.2">
      <c r="A140" s="187">
        <v>263</v>
      </c>
      <c r="B140" s="4">
        <v>240</v>
      </c>
      <c r="D140" s="267"/>
      <c r="E140" s="266"/>
      <c r="G140" s="1"/>
    </row>
    <row r="141" spans="1:7" hidden="1" x14ac:dyDescent="0.2">
      <c r="A141" s="187">
        <v>264</v>
      </c>
      <c r="B141" s="4">
        <v>240</v>
      </c>
      <c r="D141" s="267"/>
      <c r="E141" s="266"/>
      <c r="G141" s="1"/>
    </row>
    <row r="142" spans="1:7" hidden="1" x14ac:dyDescent="0.2">
      <c r="A142" s="187">
        <v>265</v>
      </c>
      <c r="B142" s="4">
        <v>240</v>
      </c>
      <c r="D142" s="267"/>
      <c r="E142" s="266"/>
      <c r="G142" s="1"/>
    </row>
    <row r="143" spans="1:7" hidden="1" x14ac:dyDescent="0.2">
      <c r="A143" s="187">
        <v>266</v>
      </c>
      <c r="B143" s="4">
        <v>200</v>
      </c>
      <c r="D143" s="267"/>
      <c r="E143" s="266"/>
      <c r="G143" s="1"/>
    </row>
    <row r="144" spans="1:7" hidden="1" x14ac:dyDescent="0.2">
      <c r="A144" s="187">
        <v>267</v>
      </c>
      <c r="B144" s="4">
        <v>240</v>
      </c>
      <c r="D144" s="267"/>
      <c r="E144" s="266"/>
      <c r="G144" s="1"/>
    </row>
    <row r="145" spans="1:7" hidden="1" x14ac:dyDescent="0.2">
      <c r="A145" s="187">
        <v>268</v>
      </c>
      <c r="B145" s="4">
        <v>240</v>
      </c>
      <c r="D145" s="267"/>
      <c r="E145" s="266"/>
      <c r="G145" s="1"/>
    </row>
    <row r="146" spans="1:7" hidden="1" x14ac:dyDescent="0.2">
      <c r="A146" s="187">
        <v>269</v>
      </c>
      <c r="B146" s="4">
        <v>240</v>
      </c>
      <c r="D146" s="267"/>
      <c r="E146" s="266"/>
      <c r="G146" s="1"/>
    </row>
    <row r="147" spans="1:7" hidden="1" x14ac:dyDescent="0.2">
      <c r="A147" s="187">
        <v>270</v>
      </c>
      <c r="B147" s="4">
        <v>240</v>
      </c>
      <c r="D147" s="267"/>
      <c r="E147" s="266"/>
      <c r="G147" s="1"/>
    </row>
    <row r="148" spans="1:7" hidden="1" x14ac:dyDescent="0.2">
      <c r="A148" s="187">
        <v>271</v>
      </c>
      <c r="B148" s="4">
        <v>240</v>
      </c>
      <c r="D148" s="267"/>
      <c r="E148" s="266"/>
      <c r="G148" s="1"/>
    </row>
    <row r="149" spans="1:7" hidden="1" x14ac:dyDescent="0.2">
      <c r="A149" s="187">
        <v>272</v>
      </c>
      <c r="B149" s="4">
        <v>240</v>
      </c>
      <c r="D149" s="267"/>
      <c r="E149" s="266"/>
      <c r="G149" s="1"/>
    </row>
    <row r="150" spans="1:7" hidden="1" x14ac:dyDescent="0.2">
      <c r="A150" s="187">
        <v>273</v>
      </c>
      <c r="B150" s="4">
        <v>240</v>
      </c>
      <c r="D150" s="267"/>
      <c r="E150" s="266"/>
      <c r="G150" s="1"/>
    </row>
    <row r="151" spans="1:7" hidden="1" x14ac:dyDescent="0.2">
      <c r="A151" s="187">
        <v>274</v>
      </c>
      <c r="B151" s="4">
        <v>240</v>
      </c>
      <c r="D151" s="267"/>
      <c r="E151" s="266"/>
      <c r="G151" s="1"/>
    </row>
    <row r="152" spans="1:7" hidden="1" x14ac:dyDescent="0.2">
      <c r="A152" s="187">
        <v>275</v>
      </c>
      <c r="B152" s="4">
        <v>240</v>
      </c>
      <c r="D152" s="267"/>
      <c r="E152" s="266"/>
      <c r="G152" s="1"/>
    </row>
    <row r="153" spans="1:7" hidden="1" x14ac:dyDescent="0.2">
      <c r="A153" s="187">
        <v>276</v>
      </c>
      <c r="B153" s="4">
        <v>240</v>
      </c>
      <c r="D153" s="267"/>
      <c r="E153" s="266"/>
      <c r="G153" s="1"/>
    </row>
    <row r="154" spans="1:7" hidden="1" x14ac:dyDescent="0.2">
      <c r="A154" s="187">
        <v>277</v>
      </c>
      <c r="B154" s="4">
        <v>240</v>
      </c>
      <c r="D154" s="267"/>
      <c r="E154" s="266"/>
      <c r="G154" s="1"/>
    </row>
    <row r="155" spans="1:7" hidden="1" x14ac:dyDescent="0.2">
      <c r="A155" s="187">
        <v>278</v>
      </c>
      <c r="B155" s="4">
        <v>240</v>
      </c>
      <c r="D155" s="267"/>
      <c r="E155" s="266"/>
      <c r="G155" s="1"/>
    </row>
    <row r="156" spans="1:7" hidden="1" x14ac:dyDescent="0.2">
      <c r="A156" s="187">
        <v>279</v>
      </c>
      <c r="B156" s="4">
        <v>240</v>
      </c>
      <c r="D156" s="267"/>
      <c r="E156" s="266"/>
      <c r="G156" s="1"/>
    </row>
    <row r="157" spans="1:7" hidden="1" x14ac:dyDescent="0.2">
      <c r="A157" s="187">
        <v>280</v>
      </c>
      <c r="B157" s="4">
        <v>240</v>
      </c>
      <c r="D157" s="267"/>
      <c r="E157" s="266"/>
      <c r="G157" s="1"/>
    </row>
    <row r="158" spans="1:7" hidden="1" x14ac:dyDescent="0.2">
      <c r="A158" s="187">
        <v>281</v>
      </c>
      <c r="B158" s="4">
        <v>240</v>
      </c>
      <c r="D158" s="267"/>
      <c r="E158" s="266"/>
      <c r="G158" s="1"/>
    </row>
    <row r="159" spans="1:7" hidden="1" x14ac:dyDescent="0.2">
      <c r="A159" s="187">
        <v>282</v>
      </c>
      <c r="B159" s="4">
        <v>240</v>
      </c>
      <c r="D159" s="267"/>
      <c r="E159" s="266"/>
      <c r="G159" s="1"/>
    </row>
    <row r="160" spans="1:7" hidden="1" x14ac:dyDescent="0.2">
      <c r="A160" s="187">
        <v>283</v>
      </c>
      <c r="B160" s="4">
        <v>240</v>
      </c>
      <c r="D160" s="267"/>
      <c r="E160" s="266"/>
      <c r="G160" s="1"/>
    </row>
    <row r="161" spans="1:7" hidden="1" x14ac:dyDescent="0.2">
      <c r="A161" s="187">
        <v>284</v>
      </c>
      <c r="B161" s="4">
        <v>240</v>
      </c>
      <c r="D161" s="267"/>
      <c r="E161" s="266"/>
      <c r="G161" s="1"/>
    </row>
    <row r="162" spans="1:7" hidden="1" x14ac:dyDescent="0.2">
      <c r="A162" s="187">
        <v>285</v>
      </c>
      <c r="B162" s="4">
        <v>240</v>
      </c>
      <c r="D162" s="267"/>
      <c r="E162" s="266"/>
      <c r="G162" s="1"/>
    </row>
    <row r="163" spans="1:7" hidden="1" x14ac:dyDescent="0.2">
      <c r="A163" s="187">
        <v>286</v>
      </c>
      <c r="B163" s="4">
        <v>240</v>
      </c>
      <c r="D163" s="267"/>
      <c r="E163" s="266"/>
      <c r="G163" s="1"/>
    </row>
    <row r="164" spans="1:7" hidden="1" x14ac:dyDescent="0.2">
      <c r="A164" s="187">
        <v>287</v>
      </c>
      <c r="B164" s="4">
        <v>240</v>
      </c>
      <c r="D164" s="267"/>
      <c r="E164" s="266"/>
      <c r="G164" s="1"/>
    </row>
    <row r="165" spans="1:7" hidden="1" x14ac:dyDescent="0.2">
      <c r="A165" s="187">
        <v>288</v>
      </c>
      <c r="B165" s="4">
        <v>240</v>
      </c>
      <c r="D165" s="267"/>
      <c r="E165" s="266"/>
      <c r="G165" s="1"/>
    </row>
    <row r="166" spans="1:7" hidden="1" x14ac:dyDescent="0.2">
      <c r="A166" s="187">
        <v>289</v>
      </c>
      <c r="B166" s="4">
        <v>240</v>
      </c>
      <c r="D166" s="267"/>
      <c r="E166" s="266"/>
      <c r="G166" s="1"/>
    </row>
    <row r="167" spans="1:7" hidden="1" x14ac:dyDescent="0.2">
      <c r="A167" s="187">
        <v>290</v>
      </c>
      <c r="B167" s="4">
        <v>240</v>
      </c>
      <c r="D167" s="267"/>
      <c r="E167" s="266"/>
      <c r="G167" s="1"/>
    </row>
    <row r="168" spans="1:7" hidden="1" x14ac:dyDescent="0.2">
      <c r="A168" s="187">
        <v>291</v>
      </c>
      <c r="B168" s="4">
        <v>240</v>
      </c>
      <c r="D168" s="267"/>
      <c r="E168" s="266"/>
      <c r="G168" s="1"/>
    </row>
    <row r="169" spans="1:7" hidden="1" x14ac:dyDescent="0.2">
      <c r="A169" s="187">
        <v>292</v>
      </c>
      <c r="B169" s="4">
        <v>240</v>
      </c>
      <c r="D169" s="267"/>
      <c r="E169" s="266"/>
      <c r="G169" s="1"/>
    </row>
    <row r="170" spans="1:7" hidden="1" x14ac:dyDescent="0.2">
      <c r="A170" s="187">
        <v>350</v>
      </c>
      <c r="B170" s="4">
        <v>0</v>
      </c>
      <c r="D170" s="267"/>
      <c r="E170" s="266"/>
      <c r="G170" s="1"/>
    </row>
    <row r="171" spans="1:7" hidden="1" x14ac:dyDescent="0.2">
      <c r="A171" s="187">
        <v>351</v>
      </c>
      <c r="B171" s="4">
        <v>0</v>
      </c>
      <c r="D171" s="267"/>
      <c r="E171" s="266"/>
      <c r="G171" s="1"/>
    </row>
    <row r="172" spans="1:7" hidden="1" x14ac:dyDescent="0.2">
      <c r="A172" s="187">
        <v>352</v>
      </c>
      <c r="B172" s="4">
        <v>0</v>
      </c>
      <c r="D172" s="267"/>
      <c r="E172" s="266"/>
      <c r="G172" s="1"/>
    </row>
    <row r="173" spans="1:7" hidden="1" x14ac:dyDescent="0.2">
      <c r="A173" s="187">
        <v>353</v>
      </c>
      <c r="B173" s="4">
        <v>0</v>
      </c>
      <c r="D173" s="267"/>
      <c r="E173" s="266"/>
      <c r="G173" s="1"/>
    </row>
    <row r="174" spans="1:7" hidden="1" x14ac:dyDescent="0.2">
      <c r="A174" s="187">
        <v>354</v>
      </c>
      <c r="B174" s="4">
        <v>100</v>
      </c>
      <c r="D174" s="267"/>
      <c r="E174" s="266"/>
      <c r="G174" s="1"/>
    </row>
    <row r="175" spans="1:7" hidden="1" x14ac:dyDescent="0.2">
      <c r="A175" s="187">
        <v>355</v>
      </c>
      <c r="B175" s="4">
        <v>140</v>
      </c>
      <c r="D175" s="267"/>
      <c r="E175" s="266"/>
      <c r="G175" s="1"/>
    </row>
    <row r="176" spans="1:7" hidden="1" x14ac:dyDescent="0.2">
      <c r="A176" s="187">
        <v>356</v>
      </c>
      <c r="B176" s="4">
        <v>200</v>
      </c>
      <c r="D176" s="267"/>
      <c r="E176" s="266"/>
      <c r="G176" s="1"/>
    </row>
    <row r="177" spans="1:7" hidden="1" x14ac:dyDescent="0.2">
      <c r="A177" s="187">
        <v>357</v>
      </c>
      <c r="B177" s="4">
        <v>200</v>
      </c>
      <c r="D177" s="267"/>
      <c r="E177" s="266"/>
      <c r="G177" s="1"/>
    </row>
    <row r="178" spans="1:7" hidden="1" x14ac:dyDescent="0.2">
      <c r="A178" s="187">
        <v>450</v>
      </c>
      <c r="B178" s="4">
        <v>60</v>
      </c>
      <c r="D178" s="267"/>
      <c r="E178" s="266"/>
      <c r="G178" s="1"/>
    </row>
    <row r="179" spans="1:7" hidden="1" x14ac:dyDescent="0.2">
      <c r="A179" s="187">
        <v>451</v>
      </c>
      <c r="B179" s="4">
        <v>0</v>
      </c>
      <c r="D179" s="267"/>
      <c r="E179" s="266"/>
      <c r="G179" s="1"/>
    </row>
    <row r="180" spans="1:7" hidden="1" x14ac:dyDescent="0.2">
      <c r="A180" s="187">
        <v>452</v>
      </c>
      <c r="B180" s="4">
        <v>0</v>
      </c>
      <c r="D180" s="267"/>
      <c r="E180" s="266"/>
      <c r="G180" s="1"/>
    </row>
    <row r="181" spans="1:7" hidden="1" x14ac:dyDescent="0.2">
      <c r="A181" s="187">
        <v>453</v>
      </c>
      <c r="B181" s="4">
        <v>0</v>
      </c>
      <c r="D181" s="267"/>
      <c r="E181" s="266"/>
      <c r="G181" s="1"/>
    </row>
    <row r="182" spans="1:7" hidden="1" x14ac:dyDescent="0.2">
      <c r="A182" s="187">
        <v>454</v>
      </c>
      <c r="B182" s="4">
        <v>0</v>
      </c>
      <c r="D182" s="267"/>
      <c r="E182" s="266"/>
      <c r="G182" s="1"/>
    </row>
    <row r="183" spans="1:7" hidden="1" x14ac:dyDescent="0.2">
      <c r="A183" s="187">
        <v>455</v>
      </c>
      <c r="B183" s="4">
        <v>0</v>
      </c>
      <c r="D183" s="267"/>
      <c r="E183" s="266"/>
      <c r="G183" s="1"/>
    </row>
    <row r="184" spans="1:7" hidden="1" x14ac:dyDescent="0.2">
      <c r="A184" s="187">
        <v>456</v>
      </c>
      <c r="B184" s="4">
        <v>0</v>
      </c>
      <c r="D184" s="267"/>
      <c r="E184" s="266"/>
      <c r="G184" s="1"/>
    </row>
    <row r="185" spans="1:7" hidden="1" x14ac:dyDescent="0.2">
      <c r="A185" s="187">
        <v>457</v>
      </c>
      <c r="B185" s="4">
        <v>0</v>
      </c>
      <c r="D185" s="267"/>
      <c r="E185" s="266"/>
      <c r="G185" s="1"/>
    </row>
    <row r="186" spans="1:7" hidden="1" x14ac:dyDescent="0.2">
      <c r="A186" s="187">
        <v>458</v>
      </c>
      <c r="B186" s="4">
        <v>40</v>
      </c>
      <c r="D186" s="267"/>
      <c r="E186" s="266"/>
      <c r="G186" s="1"/>
    </row>
    <row r="187" spans="1:7" hidden="1" x14ac:dyDescent="0.2">
      <c r="A187" s="187">
        <v>459</v>
      </c>
      <c r="B187" s="4">
        <v>40</v>
      </c>
      <c r="D187" s="267"/>
      <c r="E187" s="266"/>
      <c r="G187" s="1"/>
    </row>
    <row r="188" spans="1:7" hidden="1" x14ac:dyDescent="0.2">
      <c r="A188" s="187">
        <v>460</v>
      </c>
      <c r="B188" s="4">
        <v>200</v>
      </c>
      <c r="D188" s="267"/>
      <c r="E188" s="266"/>
      <c r="G188" s="1"/>
    </row>
    <row r="189" spans="1:7" hidden="1" x14ac:dyDescent="0.2">
      <c r="A189" s="187">
        <v>461</v>
      </c>
      <c r="B189" s="4">
        <v>240</v>
      </c>
      <c r="D189" s="267"/>
      <c r="E189" s="266"/>
      <c r="G189" s="1"/>
    </row>
    <row r="190" spans="1:7" hidden="1" x14ac:dyDescent="0.2">
      <c r="A190" s="187">
        <v>551</v>
      </c>
      <c r="B190" s="4">
        <v>0</v>
      </c>
      <c r="D190" s="267"/>
      <c r="E190" s="266"/>
      <c r="G190" s="1"/>
    </row>
    <row r="191" spans="1:7" hidden="1" x14ac:dyDescent="0.2">
      <c r="A191" s="187">
        <v>650</v>
      </c>
      <c r="B191" s="4">
        <v>0</v>
      </c>
      <c r="D191" s="267"/>
      <c r="E191" s="266"/>
      <c r="G191" s="1"/>
    </row>
    <row r="192" spans="1:7" hidden="1" x14ac:dyDescent="0.2">
      <c r="A192" s="187">
        <v>651</v>
      </c>
      <c r="B192" s="4">
        <v>20</v>
      </c>
      <c r="D192" s="267"/>
      <c r="E192" s="266"/>
      <c r="G192" s="1"/>
    </row>
    <row r="193" spans="1:7" hidden="1" x14ac:dyDescent="0.2">
      <c r="A193" s="187">
        <v>652</v>
      </c>
      <c r="B193" s="4">
        <v>200</v>
      </c>
      <c r="D193" s="267"/>
      <c r="E193" s="266"/>
      <c r="G193" s="1"/>
    </row>
    <row r="194" spans="1:7" hidden="1" x14ac:dyDescent="0.2">
      <c r="A194" s="187">
        <v>653</v>
      </c>
      <c r="B194" s="4">
        <v>120</v>
      </c>
      <c r="D194" s="267"/>
      <c r="E194" s="266"/>
      <c r="G194" s="1"/>
    </row>
    <row r="195" spans="1:7" hidden="1" x14ac:dyDescent="0.2">
      <c r="A195" s="187">
        <v>654</v>
      </c>
      <c r="B195" s="4">
        <v>180</v>
      </c>
      <c r="D195" s="267"/>
      <c r="E195" s="266"/>
      <c r="G195" s="1"/>
    </row>
    <row r="196" spans="1:7" hidden="1" x14ac:dyDescent="0.2">
      <c r="A196" s="187">
        <v>655</v>
      </c>
      <c r="B196" s="4">
        <v>20</v>
      </c>
      <c r="D196" s="267"/>
      <c r="E196" s="266"/>
      <c r="G196" s="1"/>
    </row>
    <row r="197" spans="1:7" hidden="1" x14ac:dyDescent="0.2">
      <c r="A197" s="187">
        <v>656</v>
      </c>
      <c r="B197" s="4">
        <v>120</v>
      </c>
      <c r="D197" s="267"/>
      <c r="E197" s="266"/>
      <c r="G197" s="1"/>
    </row>
    <row r="198" spans="1:7" hidden="1" x14ac:dyDescent="0.2">
      <c r="A198" s="187">
        <v>657</v>
      </c>
      <c r="B198" s="4">
        <v>140</v>
      </c>
      <c r="D198" s="267"/>
      <c r="E198" s="266"/>
      <c r="G198" s="1"/>
    </row>
    <row r="199" spans="1:7" hidden="1" x14ac:dyDescent="0.2">
      <c r="A199" s="187">
        <v>658</v>
      </c>
      <c r="B199" s="4">
        <v>220</v>
      </c>
      <c r="D199" s="267"/>
      <c r="E199" s="266"/>
      <c r="G199" s="1"/>
    </row>
    <row r="200" spans="1:7" hidden="1" x14ac:dyDescent="0.2">
      <c r="A200" s="187">
        <v>659</v>
      </c>
      <c r="B200" s="4">
        <v>240</v>
      </c>
      <c r="D200" s="267"/>
      <c r="E200" s="266"/>
      <c r="G200" s="1"/>
    </row>
    <row r="201" spans="1:7" hidden="1" x14ac:dyDescent="0.2">
      <c r="A201" s="187">
        <v>660</v>
      </c>
      <c r="B201" s="4">
        <v>160</v>
      </c>
      <c r="D201" s="267"/>
      <c r="E201" s="266"/>
      <c r="G201" s="1"/>
    </row>
    <row r="202" spans="1:7" hidden="1" x14ac:dyDescent="0.2">
      <c r="A202" s="187">
        <v>661</v>
      </c>
      <c r="B202" s="4">
        <v>20</v>
      </c>
      <c r="D202" s="267"/>
      <c r="E202" s="266"/>
      <c r="G202" s="1"/>
    </row>
    <row r="203" spans="1:7" hidden="1" x14ac:dyDescent="0.2">
      <c r="A203" s="187">
        <v>662</v>
      </c>
      <c r="B203" s="4">
        <v>0</v>
      </c>
      <c r="D203" s="267"/>
      <c r="E203" s="266"/>
      <c r="G203" s="1"/>
    </row>
    <row r="204" spans="1:7" hidden="1" x14ac:dyDescent="0.2">
      <c r="A204" s="187">
        <v>750</v>
      </c>
      <c r="B204" s="4">
        <v>0</v>
      </c>
      <c r="D204" s="267"/>
      <c r="E204" s="266"/>
      <c r="G204" s="1"/>
    </row>
    <row r="205" spans="1:7" hidden="1" x14ac:dyDescent="0.2">
      <c r="A205" s="187">
        <v>751</v>
      </c>
      <c r="B205" s="4">
        <v>20</v>
      </c>
      <c r="D205" s="267"/>
      <c r="E205" s="266"/>
      <c r="G205" s="1"/>
    </row>
    <row r="206" spans="1:7" hidden="1" x14ac:dyDescent="0.2">
      <c r="A206" s="187">
        <v>752</v>
      </c>
      <c r="B206" s="4">
        <v>200</v>
      </c>
      <c r="D206" s="267"/>
      <c r="E206" s="266"/>
      <c r="G206" s="1"/>
    </row>
    <row r="207" spans="1:7" hidden="1" x14ac:dyDescent="0.2">
      <c r="A207" s="187">
        <v>753</v>
      </c>
      <c r="B207" s="4">
        <v>240</v>
      </c>
      <c r="D207" s="267"/>
      <c r="E207" s="266"/>
      <c r="G207" s="1"/>
    </row>
    <row r="208" spans="1:7" hidden="1" x14ac:dyDescent="0.2">
      <c r="A208" s="187">
        <v>754</v>
      </c>
      <c r="B208" s="4">
        <v>80</v>
      </c>
      <c r="D208" s="267"/>
      <c r="E208" s="266"/>
      <c r="G208" s="1"/>
    </row>
    <row r="209" spans="1:7" hidden="1" x14ac:dyDescent="0.2">
      <c r="A209" s="187">
        <v>755</v>
      </c>
      <c r="B209" s="4">
        <v>40</v>
      </c>
      <c r="D209" s="267"/>
      <c r="E209" s="266"/>
      <c r="G209" s="1"/>
    </row>
    <row r="210" spans="1:7" hidden="1" x14ac:dyDescent="0.2">
      <c r="A210" s="187">
        <v>756</v>
      </c>
      <c r="B210" s="4">
        <v>240</v>
      </c>
      <c r="D210" s="267"/>
      <c r="E210" s="266"/>
      <c r="G210" s="1"/>
    </row>
    <row r="211" spans="1:7" hidden="1" x14ac:dyDescent="0.2">
      <c r="A211" s="187">
        <v>757</v>
      </c>
      <c r="B211" s="4">
        <v>240</v>
      </c>
      <c r="D211" s="267"/>
      <c r="E211" s="266"/>
      <c r="G211" s="1"/>
    </row>
    <row r="212" spans="1:7" hidden="1" x14ac:dyDescent="0.2">
      <c r="A212" s="187">
        <v>758</v>
      </c>
      <c r="B212" s="4">
        <v>240</v>
      </c>
      <c r="D212" s="267"/>
      <c r="E212" s="266"/>
      <c r="G212" s="1"/>
    </row>
    <row r="213" spans="1:7" hidden="1" x14ac:dyDescent="0.2">
      <c r="A213" s="187">
        <v>850</v>
      </c>
      <c r="B213" s="4">
        <v>0</v>
      </c>
      <c r="D213" s="267"/>
      <c r="E213" s="266"/>
      <c r="G213" s="1"/>
    </row>
    <row r="214" spans="1:7" hidden="1" x14ac:dyDescent="0.2">
      <c r="A214" s="187">
        <v>851</v>
      </c>
      <c r="B214" s="4">
        <v>0</v>
      </c>
      <c r="D214" s="267"/>
      <c r="E214" s="266"/>
      <c r="G214" s="1"/>
    </row>
    <row r="215" spans="1:7" hidden="1" x14ac:dyDescent="0.2">
      <c r="A215" s="187">
        <v>852</v>
      </c>
      <c r="B215" s="4">
        <v>0</v>
      </c>
      <c r="D215" s="267"/>
      <c r="E215" s="266"/>
      <c r="G215" s="1"/>
    </row>
    <row r="216" spans="1:7" hidden="1" x14ac:dyDescent="0.2">
      <c r="A216" s="187">
        <v>853</v>
      </c>
      <c r="B216" s="4">
        <v>0</v>
      </c>
      <c r="D216" s="267"/>
      <c r="E216" s="266"/>
      <c r="G216" s="1"/>
    </row>
    <row r="217" spans="1:7" hidden="1" x14ac:dyDescent="0.2">
      <c r="A217" s="187">
        <v>854</v>
      </c>
      <c r="B217" s="4">
        <v>0</v>
      </c>
      <c r="D217" s="267"/>
      <c r="E217" s="266"/>
      <c r="G217" s="1"/>
    </row>
    <row r="218" spans="1:7" hidden="1" x14ac:dyDescent="0.2">
      <c r="A218" s="187">
        <v>855</v>
      </c>
      <c r="B218" s="4">
        <v>0</v>
      </c>
      <c r="D218" s="267"/>
      <c r="E218" s="266"/>
      <c r="G218" s="1"/>
    </row>
    <row r="219" spans="1:7" hidden="1" x14ac:dyDescent="0.2">
      <c r="A219" s="187">
        <v>856</v>
      </c>
      <c r="B219" s="4">
        <v>0</v>
      </c>
      <c r="D219" s="267"/>
      <c r="E219" s="266"/>
      <c r="G219" s="1"/>
    </row>
    <row r="220" spans="1:7" hidden="1" x14ac:dyDescent="0.2">
      <c r="A220" s="187">
        <v>857</v>
      </c>
      <c r="B220" s="4">
        <v>80</v>
      </c>
      <c r="D220" s="267"/>
      <c r="E220" s="266"/>
      <c r="G220" s="1"/>
    </row>
    <row r="221" spans="1:7" hidden="1" x14ac:dyDescent="0.2">
      <c r="A221" s="187">
        <v>858</v>
      </c>
      <c r="B221" s="4">
        <v>100</v>
      </c>
      <c r="D221" s="267"/>
      <c r="E221" s="266"/>
      <c r="G221" s="1"/>
    </row>
    <row r="222" spans="1:7" hidden="1" x14ac:dyDescent="0.2">
      <c r="A222" s="187">
        <v>859</v>
      </c>
      <c r="B222" s="4">
        <v>180</v>
      </c>
      <c r="D222" s="267"/>
      <c r="E222" s="266"/>
      <c r="G222" s="1"/>
    </row>
    <row r="223" spans="1:7" hidden="1" x14ac:dyDescent="0.2">
      <c r="A223" s="187">
        <v>860</v>
      </c>
      <c r="B223" s="4">
        <v>240</v>
      </c>
      <c r="D223" s="267"/>
      <c r="E223" s="266"/>
      <c r="G223" s="1"/>
    </row>
    <row r="224" spans="1:7" hidden="1" x14ac:dyDescent="0.2">
      <c r="A224" s="187">
        <v>861</v>
      </c>
      <c r="B224" s="4">
        <v>220</v>
      </c>
      <c r="D224" s="267"/>
      <c r="E224" s="266"/>
      <c r="G224" s="1"/>
    </row>
    <row r="225" spans="1:7" hidden="1" x14ac:dyDescent="0.2">
      <c r="A225" s="187">
        <v>862</v>
      </c>
      <c r="B225" s="4">
        <v>240</v>
      </c>
      <c r="D225" s="267"/>
      <c r="E225" s="266"/>
      <c r="G225" s="1"/>
    </row>
    <row r="226" spans="1:7" hidden="1" x14ac:dyDescent="0.2">
      <c r="A226" s="187">
        <v>863</v>
      </c>
      <c r="B226" s="4">
        <v>240</v>
      </c>
      <c r="D226" s="267"/>
      <c r="E226" s="266"/>
      <c r="G226" s="1"/>
    </row>
    <row r="227" spans="1:7" hidden="1" x14ac:dyDescent="0.2">
      <c r="A227" s="187">
        <v>864</v>
      </c>
      <c r="B227" s="4">
        <v>240</v>
      </c>
      <c r="D227" s="267"/>
      <c r="E227" s="266"/>
      <c r="G227" s="1"/>
    </row>
    <row r="228" spans="1:7" hidden="1" x14ac:dyDescent="0.2">
      <c r="A228" s="187">
        <v>865</v>
      </c>
      <c r="B228" s="4">
        <v>240</v>
      </c>
      <c r="D228" s="267"/>
      <c r="E228" s="266"/>
      <c r="G228" s="1"/>
    </row>
    <row r="229" spans="1:7" hidden="1" x14ac:dyDescent="0.2">
      <c r="A229" s="187">
        <v>866</v>
      </c>
      <c r="B229" s="4">
        <v>240</v>
      </c>
      <c r="D229" s="267"/>
      <c r="E229" s="266"/>
      <c r="G229" s="1"/>
    </row>
    <row r="230" spans="1:7" hidden="1" x14ac:dyDescent="0.2">
      <c r="A230" s="187">
        <v>867</v>
      </c>
      <c r="B230" s="4">
        <v>240</v>
      </c>
      <c r="D230" s="267"/>
      <c r="E230" s="266"/>
      <c r="G230" s="1"/>
    </row>
    <row r="231" spans="1:7" hidden="1" x14ac:dyDescent="0.2">
      <c r="A231" s="187">
        <v>868</v>
      </c>
      <c r="B231" s="4">
        <v>240</v>
      </c>
      <c r="D231" s="267"/>
      <c r="E231" s="266"/>
      <c r="G231" s="1"/>
    </row>
    <row r="232" spans="1:7" hidden="1" x14ac:dyDescent="0.2">
      <c r="A232" s="187">
        <v>869</v>
      </c>
      <c r="B232" s="4">
        <v>240</v>
      </c>
      <c r="D232" s="267"/>
      <c r="E232" s="266"/>
      <c r="G232" s="1"/>
    </row>
    <row r="233" spans="1:7" hidden="1" x14ac:dyDescent="0.2">
      <c r="A233" s="187">
        <v>870</v>
      </c>
      <c r="B233" s="4">
        <v>240</v>
      </c>
      <c r="D233" s="267"/>
      <c r="E233" s="266"/>
      <c r="G233" s="1"/>
    </row>
    <row r="234" spans="1:7" hidden="1" x14ac:dyDescent="0.2">
      <c r="A234" s="187">
        <v>871</v>
      </c>
      <c r="B234" s="4">
        <v>240</v>
      </c>
      <c r="D234" s="267"/>
      <c r="E234" s="266"/>
      <c r="G234" s="1"/>
    </row>
    <row r="235" spans="1:7" hidden="1" x14ac:dyDescent="0.2">
      <c r="A235" s="187">
        <v>872</v>
      </c>
      <c r="B235" s="4">
        <v>240</v>
      </c>
      <c r="D235" s="267"/>
      <c r="E235" s="266"/>
      <c r="G235" s="1"/>
    </row>
    <row r="236" spans="1:7" hidden="1" x14ac:dyDescent="0.2">
      <c r="A236" s="187">
        <v>873</v>
      </c>
      <c r="B236" s="4">
        <v>240</v>
      </c>
      <c r="D236" s="267"/>
      <c r="E236" s="266"/>
      <c r="G236" s="1"/>
    </row>
    <row r="237" spans="1:7" hidden="1" x14ac:dyDescent="0.2">
      <c r="A237" s="187">
        <v>874</v>
      </c>
      <c r="B237" s="4">
        <v>240</v>
      </c>
      <c r="D237" s="267"/>
      <c r="E237" s="266"/>
      <c r="G237" s="1"/>
    </row>
    <row r="238" spans="1:7" hidden="1" x14ac:dyDescent="0.2">
      <c r="A238" s="187">
        <v>875</v>
      </c>
      <c r="B238" s="4">
        <v>240</v>
      </c>
      <c r="D238" s="267"/>
      <c r="E238" s="266"/>
      <c r="G238" s="1"/>
    </row>
    <row r="239" spans="1:7" hidden="1" x14ac:dyDescent="0.2">
      <c r="A239" s="187">
        <v>876</v>
      </c>
      <c r="B239" s="4">
        <v>240</v>
      </c>
      <c r="D239" s="267"/>
      <c r="E239" s="266"/>
      <c r="G239" s="1"/>
    </row>
    <row r="240" spans="1:7" hidden="1" x14ac:dyDescent="0.2">
      <c r="A240" s="187">
        <v>877</v>
      </c>
      <c r="B240" s="4">
        <v>240</v>
      </c>
      <c r="D240" s="267"/>
      <c r="E240" s="266"/>
      <c r="G240" s="1"/>
    </row>
    <row r="241" spans="1:7" hidden="1" x14ac:dyDescent="0.2">
      <c r="A241" s="187">
        <v>878</v>
      </c>
      <c r="B241" s="4">
        <v>240</v>
      </c>
      <c r="D241" s="267"/>
      <c r="E241" s="266"/>
      <c r="G241" s="1"/>
    </row>
    <row r="242" spans="1:7" hidden="1" x14ac:dyDescent="0.2">
      <c r="A242" s="187">
        <v>879</v>
      </c>
      <c r="B242" s="4">
        <v>240</v>
      </c>
      <c r="D242" s="267"/>
      <c r="E242" s="266"/>
      <c r="G242" s="1"/>
    </row>
    <row r="243" spans="1:7" hidden="1" x14ac:dyDescent="0.2">
      <c r="A243" s="187">
        <v>880</v>
      </c>
      <c r="B243" s="4">
        <v>240</v>
      </c>
      <c r="D243" s="267"/>
      <c r="E243" s="266"/>
      <c r="G243" s="1"/>
    </row>
    <row r="244" spans="1:7" hidden="1" x14ac:dyDescent="0.2">
      <c r="A244" s="187">
        <v>881</v>
      </c>
      <c r="B244" s="4">
        <v>240</v>
      </c>
      <c r="D244" s="267"/>
      <c r="E244" s="266"/>
      <c r="G244" s="1"/>
    </row>
    <row r="245" spans="1:7" hidden="1" x14ac:dyDescent="0.2">
      <c r="A245" s="187">
        <v>882</v>
      </c>
      <c r="B245" s="4">
        <v>240</v>
      </c>
      <c r="D245" s="267"/>
      <c r="E245" s="266"/>
      <c r="G245" s="1"/>
    </row>
    <row r="246" spans="1:7" hidden="1" x14ac:dyDescent="0.2">
      <c r="A246" s="187">
        <v>883</v>
      </c>
      <c r="B246" s="4">
        <v>240</v>
      </c>
      <c r="D246" s="267"/>
      <c r="E246" s="266"/>
      <c r="G246" s="1"/>
    </row>
    <row r="247" spans="1:7" hidden="1" x14ac:dyDescent="0.2">
      <c r="A247" s="187">
        <v>884</v>
      </c>
      <c r="B247" s="4">
        <v>240</v>
      </c>
      <c r="D247" s="267"/>
      <c r="E247" s="266"/>
      <c r="G247" s="1"/>
    </row>
    <row r="248" spans="1:7" hidden="1" x14ac:dyDescent="0.2">
      <c r="A248" s="187">
        <v>885</v>
      </c>
      <c r="B248" s="4">
        <v>240</v>
      </c>
      <c r="D248" s="267"/>
      <c r="E248" s="266"/>
      <c r="G248" s="1"/>
    </row>
    <row r="249" spans="1:7" hidden="1" x14ac:dyDescent="0.2">
      <c r="A249" s="187">
        <v>886</v>
      </c>
      <c r="B249" s="4">
        <v>240</v>
      </c>
      <c r="D249" s="267"/>
      <c r="E249" s="266"/>
      <c r="G249" s="1"/>
    </row>
    <row r="250" spans="1:7" hidden="1" x14ac:dyDescent="0.2">
      <c r="A250" s="187">
        <v>887</v>
      </c>
      <c r="B250" s="4">
        <v>240</v>
      </c>
      <c r="D250" s="267"/>
      <c r="E250" s="266"/>
      <c r="G250" s="1"/>
    </row>
    <row r="251" spans="1:7" hidden="1" x14ac:dyDescent="0.2">
      <c r="A251" s="187">
        <v>888</v>
      </c>
      <c r="B251" s="4">
        <v>240</v>
      </c>
      <c r="D251" s="267"/>
      <c r="E251" s="266"/>
      <c r="G251" s="1"/>
    </row>
    <row r="252" spans="1:7" hidden="1" x14ac:dyDescent="0.2">
      <c r="A252" s="187">
        <v>889</v>
      </c>
      <c r="B252" s="4">
        <v>240</v>
      </c>
      <c r="D252" s="267"/>
      <c r="E252" s="266"/>
      <c r="G252" s="1"/>
    </row>
    <row r="253" spans="1:7" hidden="1" x14ac:dyDescent="0.2">
      <c r="A253" s="187">
        <v>890</v>
      </c>
      <c r="B253" s="4">
        <v>240</v>
      </c>
      <c r="D253" s="267"/>
      <c r="E253" s="266"/>
      <c r="G253" s="1"/>
    </row>
    <row r="254" spans="1:7" hidden="1" x14ac:dyDescent="0.2">
      <c r="A254" s="187">
        <v>891</v>
      </c>
      <c r="B254" s="4">
        <v>240</v>
      </c>
      <c r="D254" s="267"/>
      <c r="E254" s="266"/>
      <c r="G254" s="1"/>
    </row>
    <row r="255" spans="1:7" hidden="1" x14ac:dyDescent="0.2">
      <c r="A255" s="187">
        <v>892</v>
      </c>
      <c r="B255" s="4">
        <v>240</v>
      </c>
      <c r="D255" s="267"/>
      <c r="E255" s="266"/>
      <c r="G255" s="1"/>
    </row>
    <row r="256" spans="1:7" hidden="1" x14ac:dyDescent="0.2">
      <c r="A256" s="187">
        <v>950</v>
      </c>
      <c r="B256" s="4">
        <v>240</v>
      </c>
      <c r="D256" s="267"/>
      <c r="E256" s="266"/>
      <c r="G256" s="1"/>
    </row>
    <row r="257" spans="1:7" hidden="1" x14ac:dyDescent="0.2">
      <c r="A257" s="187">
        <v>951</v>
      </c>
      <c r="B257" s="4">
        <v>240</v>
      </c>
      <c r="D257" s="267"/>
      <c r="E257" s="266"/>
      <c r="G257" s="1"/>
    </row>
    <row r="258" spans="1:7" hidden="1" x14ac:dyDescent="0.2">
      <c r="A258" s="187">
        <v>952</v>
      </c>
      <c r="B258" s="4">
        <v>240</v>
      </c>
      <c r="D258" s="267"/>
      <c r="E258" s="266"/>
      <c r="G258" s="1"/>
    </row>
    <row r="259" spans="1:7" hidden="1" x14ac:dyDescent="0.2">
      <c r="A259" s="187">
        <v>953</v>
      </c>
      <c r="B259" s="4">
        <v>240</v>
      </c>
      <c r="D259" s="267"/>
      <c r="E259" s="266"/>
      <c r="G259" s="1"/>
    </row>
    <row r="260" spans="1:7" hidden="1" x14ac:dyDescent="0.2">
      <c r="A260" s="187">
        <v>954</v>
      </c>
      <c r="B260" s="4">
        <v>240</v>
      </c>
      <c r="D260" s="267"/>
      <c r="E260" s="266"/>
      <c r="G260" s="1"/>
    </row>
    <row r="261" spans="1:7" hidden="1" x14ac:dyDescent="0.2">
      <c r="A261" s="187">
        <v>955</v>
      </c>
      <c r="B261" s="4">
        <v>240</v>
      </c>
      <c r="D261" s="267"/>
      <c r="E261" s="266"/>
      <c r="G261" s="1"/>
    </row>
    <row r="262" spans="1:7" hidden="1" x14ac:dyDescent="0.2">
      <c r="A262" s="187">
        <v>956</v>
      </c>
      <c r="B262" s="4">
        <v>240</v>
      </c>
      <c r="D262" s="267"/>
      <c r="E262" s="266"/>
      <c r="G262" s="1"/>
    </row>
    <row r="263" spans="1:7" hidden="1" x14ac:dyDescent="0.2">
      <c r="A263" s="187">
        <v>957</v>
      </c>
      <c r="B263" s="4">
        <v>240</v>
      </c>
      <c r="D263" s="267"/>
      <c r="E263" s="266"/>
      <c r="G263" s="1"/>
    </row>
    <row r="264" spans="1:7" hidden="1" x14ac:dyDescent="0.2">
      <c r="A264" s="187">
        <v>960</v>
      </c>
      <c r="B264" s="4">
        <v>240</v>
      </c>
      <c r="D264" s="267"/>
      <c r="E264" s="266"/>
      <c r="G264" s="1"/>
    </row>
    <row r="265" spans="1:7" hidden="1" x14ac:dyDescent="0.2">
      <c r="A265" s="187">
        <v>961</v>
      </c>
      <c r="B265" s="4">
        <v>240</v>
      </c>
      <c r="D265" s="267"/>
      <c r="E265" s="266"/>
      <c r="G265" s="1"/>
    </row>
    <row r="266" spans="1:7" hidden="1" x14ac:dyDescent="0.2">
      <c r="A266" s="187">
        <v>962</v>
      </c>
      <c r="B266" s="4">
        <v>240</v>
      </c>
      <c r="D266" s="267"/>
      <c r="E266" s="266"/>
      <c r="G266" s="1"/>
    </row>
    <row r="267" spans="1:7" hidden="1" x14ac:dyDescent="0.2">
      <c r="A267" s="187">
        <v>963</v>
      </c>
      <c r="B267" s="4">
        <v>240</v>
      </c>
      <c r="D267" s="267"/>
      <c r="E267" s="266"/>
      <c r="G267" s="1"/>
    </row>
    <row r="268" spans="1:7" hidden="1" x14ac:dyDescent="0.2">
      <c r="A268" s="187">
        <v>964</v>
      </c>
      <c r="B268" s="4">
        <v>240</v>
      </c>
      <c r="D268" s="267"/>
      <c r="E268" s="266"/>
      <c r="G268" s="1"/>
    </row>
    <row r="269" spans="1:7" hidden="1" x14ac:dyDescent="0.2">
      <c r="A269" s="187">
        <v>965</v>
      </c>
      <c r="B269" s="4">
        <v>240</v>
      </c>
      <c r="D269" s="267"/>
      <c r="E269" s="266"/>
      <c r="G269" s="1"/>
    </row>
    <row r="270" spans="1:7" hidden="1" x14ac:dyDescent="0.2">
      <c r="A270" s="187">
        <v>966</v>
      </c>
      <c r="B270" s="4">
        <v>240</v>
      </c>
      <c r="D270" s="267"/>
      <c r="E270" s="266"/>
      <c r="G270" s="1"/>
    </row>
    <row r="271" spans="1:7" hidden="1" x14ac:dyDescent="0.2">
      <c r="A271" s="187">
        <v>967</v>
      </c>
      <c r="B271" s="4">
        <v>240</v>
      </c>
      <c r="D271" s="267"/>
      <c r="E271" s="266"/>
      <c r="G271" s="1"/>
    </row>
    <row r="272" spans="1:7" hidden="1" x14ac:dyDescent="0.2">
      <c r="A272" s="187">
        <v>970</v>
      </c>
      <c r="B272" s="4">
        <v>240</v>
      </c>
      <c r="D272" s="267"/>
      <c r="E272" s="266"/>
      <c r="G272" s="1"/>
    </row>
    <row r="273" spans="1:7" hidden="1" x14ac:dyDescent="0.2">
      <c r="A273" s="187">
        <v>980</v>
      </c>
      <c r="B273" s="4">
        <v>240</v>
      </c>
      <c r="D273" s="267"/>
      <c r="E273" s="266"/>
      <c r="G273" s="1"/>
    </row>
    <row r="274" spans="1:7" hidden="1" x14ac:dyDescent="0.2">
      <c r="A274" s="187">
        <v>981</v>
      </c>
      <c r="B274" s="4">
        <v>240</v>
      </c>
      <c r="D274" s="267"/>
      <c r="E274" s="266"/>
      <c r="G274" s="1"/>
    </row>
    <row r="275" spans="1:7" hidden="1" x14ac:dyDescent="0.2">
      <c r="A275" s="187">
        <v>982</v>
      </c>
      <c r="B275" s="4">
        <v>240</v>
      </c>
      <c r="D275" s="267"/>
      <c r="E275" s="266"/>
      <c r="G275" s="1"/>
    </row>
    <row r="276" spans="1:7" hidden="1" x14ac:dyDescent="0.2">
      <c r="A276" s="187">
        <v>983</v>
      </c>
      <c r="B276" s="4">
        <v>240</v>
      </c>
      <c r="D276" s="267"/>
      <c r="E276" s="266"/>
      <c r="G276" s="1"/>
    </row>
    <row r="277" spans="1:7" hidden="1" x14ac:dyDescent="0.2">
      <c r="A277" s="187">
        <v>984</v>
      </c>
      <c r="B277" s="4">
        <v>240</v>
      </c>
      <c r="D277" s="267"/>
      <c r="E277" s="266"/>
      <c r="G277" s="1"/>
    </row>
    <row r="278" spans="1:7" hidden="1" x14ac:dyDescent="0.2">
      <c r="A278" s="187">
        <v>985</v>
      </c>
      <c r="B278" s="4">
        <v>240</v>
      </c>
      <c r="D278" s="267"/>
      <c r="E278" s="266"/>
      <c r="G278" s="1"/>
    </row>
    <row r="279" spans="1:7" hidden="1" x14ac:dyDescent="0.2">
      <c r="A279" s="187">
        <v>986</v>
      </c>
      <c r="B279" s="4">
        <v>240</v>
      </c>
      <c r="D279" s="267"/>
      <c r="E279" s="266"/>
      <c r="G279" s="1"/>
    </row>
    <row r="280" spans="1:7" hidden="1" x14ac:dyDescent="0.2">
      <c r="A280" s="187">
        <v>987</v>
      </c>
      <c r="B280" s="4">
        <v>240</v>
      </c>
      <c r="D280" s="267"/>
      <c r="E280" s="266"/>
      <c r="G280" s="1"/>
    </row>
    <row r="281" spans="1:7" hidden="1" x14ac:dyDescent="0.2">
      <c r="A281" s="187">
        <v>990</v>
      </c>
      <c r="B281" s="4">
        <v>240</v>
      </c>
      <c r="D281" s="267"/>
      <c r="E281" s="266"/>
      <c r="G281" s="1"/>
    </row>
    <row r="282" spans="1:7" hidden="1" x14ac:dyDescent="0.2">
      <c r="A282" s="187">
        <v>995</v>
      </c>
      <c r="B282" s="4">
        <v>0</v>
      </c>
      <c r="D282" s="267"/>
      <c r="E282" s="266"/>
      <c r="G282" s="1"/>
    </row>
    <row r="283" spans="1:7" hidden="1" x14ac:dyDescent="0.2">
      <c r="A283" s="187">
        <v>998</v>
      </c>
      <c r="B283" s="4">
        <v>240</v>
      </c>
      <c r="D283" s="267"/>
      <c r="E283" s="266"/>
      <c r="G283" s="1"/>
    </row>
  </sheetData>
  <sheetProtection algorithmName="SHA-512" hashValue="au6xt4FIdmJmVX5EIRAqKcxwLABkBv0Byq42maE7n+F8Iz0DOT9fssJ5tLY3c6bqpxGZCcblwb20i/LEJ+itkQ==" saltValue="+qW90RXoIc7L9pfxNb8bVg==" spinCount="100000" sheet="1" objects="1" scenarios="1"/>
  <mergeCells count="18">
    <mergeCell ref="D9:E9"/>
    <mergeCell ref="H4:J4"/>
    <mergeCell ref="A4:B4"/>
    <mergeCell ref="D2:J2"/>
    <mergeCell ref="D4:F4"/>
    <mergeCell ref="D7:E7"/>
    <mergeCell ref="D8:E8"/>
    <mergeCell ref="D6:E6"/>
    <mergeCell ref="A59:D59"/>
    <mergeCell ref="A42:C42"/>
    <mergeCell ref="D44:E44"/>
    <mergeCell ref="A46:C46"/>
    <mergeCell ref="A14:D14"/>
    <mergeCell ref="D27:E27"/>
    <mergeCell ref="A36:C36"/>
    <mergeCell ref="D38:E38"/>
    <mergeCell ref="A40:C40"/>
    <mergeCell ref="A57:I57"/>
  </mergeCells>
  <dataValidations count="1">
    <dataValidation type="decimal" allowBlank="1" showInputMessage="1" showErrorMessage="1" error="La valeur doit être comprise entre 0% et 100%" sqref="D26 D22 D37 D43">
      <formula1>0</formula1>
      <formula2>1</formula2>
    </dataValidation>
  </dataValidations>
  <printOptions horizontalCentered="1"/>
  <pageMargins left="0" right="0" top="0" bottom="0" header="0.51181102362204722" footer="0.51181102362204722"/>
  <pageSetup scale="72" orientation="portrait" r:id="rId1"/>
  <headerFooter alignWithMargins="0"/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Modifs</vt:lpstr>
      <vt:lpstr>Formule 1</vt:lpstr>
      <vt:lpstr>Formule 2</vt:lpstr>
      <vt:lpstr>Formule 3</vt:lpstr>
      <vt:lpstr>Formule 4</vt:lpstr>
      <vt:lpstr>Formule 5</vt:lpstr>
      <vt:lpstr>Formule 6</vt:lpstr>
      <vt:lpstr>Formule 7</vt:lpstr>
      <vt:lpstr>Aide supplé à l'aménagement</vt:lpstr>
      <vt:lpstr>Patrons</vt:lpstr>
      <vt:lpstr>Liste</vt:lpstr>
      <vt:lpstr>Traitements_Admissibles</vt:lpstr>
      <vt:lpstr>Hebexe</vt:lpstr>
      <vt:lpstr>Hebverif</vt:lpstr>
      <vt:lpstr>InvAT</vt:lpstr>
      <vt:lpstr>Investissement</vt:lpstr>
      <vt:lpstr>Manuel</vt:lpstr>
      <vt:lpstr>Qualite</vt:lpstr>
      <vt:lpstr>Rapport</vt:lpstr>
      <vt:lpstr>Sup</vt:lpstr>
      <vt:lpstr>'Aide supplé à l''aménagement'!Zone_d_impression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Annie Lacasse</dc:creator>
  <cp:lastModifiedBy>Lacroix, Sébastien</cp:lastModifiedBy>
  <cp:lastPrinted>2015-04-29T14:28:31Z</cp:lastPrinted>
  <dcterms:created xsi:type="dcterms:W3CDTF">2012-04-30T11:24:49Z</dcterms:created>
  <dcterms:modified xsi:type="dcterms:W3CDTF">2015-04-29T14:30:11Z</dcterms:modified>
</cp:coreProperties>
</file>